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BC98F8C1-F1D0-4C7C-B639-EA0A31D8F49A}" xr6:coauthVersionLast="36" xr6:coauthVersionMax="36" xr10:uidLastSave="{00000000-0000-0000-0000-000000000000}"/>
  <bookViews>
    <workbookView xWindow="0" yWindow="0" windowWidth="28800" windowHeight="11625" tabRatio="500" xr2:uid="{00000000-000D-0000-FFFF-FFFF00000000}"/>
  </bookViews>
  <sheets>
    <sheet name="Souhrnná tabulka" sheetId="1" r:id="rId1"/>
  </sheets>
  <definedNames>
    <definedName name="_xlnm.Print_Area" localSheetId="0">'Souhrnná tabulka'!$A$1:$Q$135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4" i="1" l="1"/>
  <c r="I79" i="1"/>
  <c r="I109" i="1"/>
  <c r="G131" i="1"/>
  <c r="K119" i="1"/>
  <c r="J119" i="1"/>
  <c r="I119" i="1"/>
  <c r="G119" i="1"/>
  <c r="E119" i="1"/>
  <c r="D119" i="1"/>
  <c r="J118" i="1"/>
  <c r="H118" i="1"/>
  <c r="D117" i="1"/>
  <c r="H117" i="1" s="1"/>
  <c r="I116" i="1"/>
  <c r="J116" i="1" s="1"/>
  <c r="K114" i="1"/>
  <c r="J114" i="1"/>
  <c r="J113" i="1"/>
  <c r="J112" i="1"/>
  <c r="H112" i="1"/>
  <c r="H119" i="1" s="1"/>
  <c r="E111" i="1"/>
  <c r="E115" i="1" s="1"/>
  <c r="D111" i="1"/>
  <c r="D115" i="1" s="1"/>
  <c r="H109" i="1"/>
  <c r="J108" i="1"/>
  <c r="H108" i="1"/>
  <c r="J107" i="1"/>
  <c r="H107" i="1"/>
  <c r="J106" i="1"/>
  <c r="H106" i="1"/>
  <c r="J105" i="1"/>
  <c r="H105" i="1"/>
  <c r="K104" i="1"/>
  <c r="J104" i="1"/>
  <c r="H104" i="1"/>
  <c r="J103" i="1"/>
  <c r="H103" i="1"/>
  <c r="J102" i="1"/>
  <c r="H102" i="1"/>
  <c r="K101" i="1"/>
  <c r="J101" i="1"/>
  <c r="H101" i="1"/>
  <c r="J100" i="1"/>
  <c r="K99" i="1"/>
  <c r="J99" i="1"/>
  <c r="H99" i="1"/>
  <c r="I98" i="1"/>
  <c r="K98" i="1" s="1"/>
  <c r="H98" i="1"/>
  <c r="G98" i="1"/>
  <c r="G111" i="1" s="1"/>
  <c r="F98" i="1"/>
  <c r="F111" i="1" s="1"/>
  <c r="F115" i="1" s="1"/>
  <c r="E98" i="1"/>
  <c r="D98" i="1"/>
  <c r="J97" i="1"/>
  <c r="H97" i="1"/>
  <c r="K95" i="1"/>
  <c r="J95" i="1"/>
  <c r="H95" i="1"/>
  <c r="J94" i="1"/>
  <c r="H94" i="1"/>
  <c r="J93" i="1"/>
  <c r="H93" i="1"/>
  <c r="I92" i="1"/>
  <c r="K92" i="1" s="1"/>
  <c r="D92" i="1"/>
  <c r="H92" i="1" s="1"/>
  <c r="J91" i="1"/>
  <c r="H91" i="1"/>
  <c r="J90" i="1"/>
  <c r="H90" i="1"/>
  <c r="J89" i="1"/>
  <c r="H89" i="1"/>
  <c r="K88" i="1"/>
  <c r="H88" i="1"/>
  <c r="K87" i="1"/>
  <c r="J87" i="1"/>
  <c r="H87" i="1"/>
  <c r="K86" i="1"/>
  <c r="J86" i="1"/>
  <c r="I86" i="1"/>
  <c r="H86" i="1"/>
  <c r="J85" i="1"/>
  <c r="H85" i="1"/>
  <c r="K84" i="1"/>
  <c r="J84" i="1"/>
  <c r="H84" i="1"/>
  <c r="K83" i="1"/>
  <c r="J83" i="1"/>
  <c r="I83" i="1"/>
  <c r="H83" i="1"/>
  <c r="J82" i="1"/>
  <c r="H82" i="1"/>
  <c r="J81" i="1"/>
  <c r="H81" i="1"/>
  <c r="K80" i="1"/>
  <c r="J80" i="1"/>
  <c r="H80" i="1"/>
  <c r="J79" i="1"/>
  <c r="H79" i="1"/>
  <c r="G78" i="1"/>
  <c r="H78" i="1" s="1"/>
  <c r="F78" i="1"/>
  <c r="E78" i="1"/>
  <c r="D78" i="1"/>
  <c r="I77" i="1"/>
  <c r="K77" i="1" s="1"/>
  <c r="H77" i="1"/>
  <c r="J76" i="1"/>
  <c r="I76" i="1"/>
  <c r="K76" i="1" s="1"/>
  <c r="H76" i="1"/>
  <c r="K75" i="1"/>
  <c r="I75" i="1"/>
  <c r="J75" i="1" s="1"/>
  <c r="H75" i="1"/>
  <c r="K74" i="1"/>
  <c r="J74" i="1"/>
  <c r="H74" i="1"/>
  <c r="K73" i="1"/>
  <c r="J73" i="1"/>
  <c r="H73" i="1"/>
  <c r="K72" i="1"/>
  <c r="J72" i="1"/>
  <c r="H72" i="1"/>
  <c r="K71" i="1"/>
  <c r="J71" i="1"/>
  <c r="H71" i="1"/>
  <c r="K70" i="1"/>
  <c r="J70" i="1"/>
  <c r="H70" i="1"/>
  <c r="I69" i="1"/>
  <c r="K69" i="1" s="1"/>
  <c r="H69" i="1"/>
  <c r="K68" i="1"/>
  <c r="J68" i="1"/>
  <c r="H68" i="1"/>
  <c r="K67" i="1"/>
  <c r="J67" i="1"/>
  <c r="H67" i="1"/>
  <c r="K66" i="1"/>
  <c r="J66" i="1"/>
  <c r="H66" i="1"/>
  <c r="K65" i="1"/>
  <c r="J65" i="1"/>
  <c r="H65" i="1"/>
  <c r="K64" i="1"/>
  <c r="J64" i="1"/>
  <c r="I64" i="1"/>
  <c r="H64" i="1"/>
  <c r="I63" i="1"/>
  <c r="K63" i="1" s="1"/>
  <c r="H63" i="1"/>
  <c r="J62" i="1"/>
  <c r="H62" i="1"/>
  <c r="K61" i="1"/>
  <c r="J61" i="1"/>
  <c r="H61" i="1"/>
  <c r="K60" i="1"/>
  <c r="J60" i="1"/>
  <c r="H60" i="1"/>
  <c r="E51" i="1"/>
  <c r="D51" i="1"/>
  <c r="F51" i="1" s="1"/>
  <c r="I50" i="1"/>
  <c r="H50" i="1"/>
  <c r="G50" i="1"/>
  <c r="E50" i="1"/>
  <c r="D50" i="1"/>
  <c r="F50" i="1" s="1"/>
  <c r="G49" i="1"/>
  <c r="D49" i="1"/>
  <c r="M48" i="1"/>
  <c r="N48" i="1" s="1"/>
  <c r="P48" i="1" s="1"/>
  <c r="G48" i="1"/>
  <c r="F48" i="1"/>
  <c r="E48" i="1"/>
  <c r="D48" i="1"/>
  <c r="D52" i="1" s="1"/>
  <c r="I41" i="1"/>
  <c r="K41" i="1" s="1"/>
  <c r="E41" i="1"/>
  <c r="J40" i="1"/>
  <c r="H40" i="1"/>
  <c r="J39" i="1"/>
  <c r="H39" i="1"/>
  <c r="K38" i="1"/>
  <c r="J38" i="1"/>
  <c r="H38" i="1"/>
  <c r="J37" i="1"/>
  <c r="H37" i="1"/>
  <c r="K36" i="1"/>
  <c r="J36" i="1"/>
  <c r="H36" i="1"/>
  <c r="K35" i="1"/>
  <c r="J35" i="1"/>
  <c r="H35" i="1"/>
  <c r="J34" i="1"/>
  <c r="H34" i="1"/>
  <c r="K33" i="1"/>
  <c r="J33" i="1"/>
  <c r="H33" i="1"/>
  <c r="K32" i="1"/>
  <c r="J32" i="1"/>
  <c r="H32" i="1"/>
  <c r="K31" i="1"/>
  <c r="J31" i="1"/>
  <c r="H31" i="1"/>
  <c r="I30" i="1"/>
  <c r="H49" i="1" s="1"/>
  <c r="I49" i="1" s="1"/>
  <c r="G30" i="1"/>
  <c r="G41" i="1" s="1"/>
  <c r="F30" i="1"/>
  <c r="F41" i="1" s="1"/>
  <c r="E30" i="1"/>
  <c r="D30" i="1"/>
  <c r="K29" i="1"/>
  <c r="J29" i="1"/>
  <c r="D29" i="1"/>
  <c r="H29" i="1" s="1"/>
  <c r="G16" i="1"/>
  <c r="F125" i="1" s="1"/>
  <c r="F16" i="1"/>
  <c r="J15" i="1"/>
  <c r="H15" i="1"/>
  <c r="J14" i="1"/>
  <c r="H14" i="1"/>
  <c r="J13" i="1"/>
  <c r="H13" i="1"/>
  <c r="I12" i="1"/>
  <c r="K12" i="1" s="1"/>
  <c r="G12" i="1"/>
  <c r="F12" i="1"/>
  <c r="E12" i="1"/>
  <c r="E16" i="1" s="1"/>
  <c r="K11" i="1"/>
  <c r="J11" i="1"/>
  <c r="D11" i="1"/>
  <c r="H11" i="1" s="1"/>
  <c r="K10" i="1"/>
  <c r="J10" i="1"/>
  <c r="H10" i="1"/>
  <c r="K9" i="1"/>
  <c r="J9" i="1"/>
  <c r="H9" i="1"/>
  <c r="K8" i="1"/>
  <c r="J8" i="1"/>
  <c r="H8" i="1"/>
  <c r="K7" i="1"/>
  <c r="J7" i="1"/>
  <c r="D7" i="1"/>
  <c r="H7" i="1" s="1"/>
  <c r="I48" i="1" l="1"/>
  <c r="I52" i="1" s="1"/>
  <c r="G115" i="1"/>
  <c r="F126" i="1" s="1"/>
  <c r="H111" i="1"/>
  <c r="H115" i="1" s="1"/>
  <c r="H52" i="1"/>
  <c r="F127" i="1"/>
  <c r="G129" i="1" s="1"/>
  <c r="G132" i="1" s="1"/>
  <c r="E52" i="1"/>
  <c r="F49" i="1"/>
  <c r="F52" i="1" s="1"/>
  <c r="G52" i="1"/>
  <c r="J77" i="1"/>
  <c r="J92" i="1"/>
  <c r="D12" i="1"/>
  <c r="J12" i="1"/>
  <c r="G130" i="1" s="1"/>
  <c r="H30" i="1"/>
  <c r="D41" i="1"/>
  <c r="H41" i="1" s="1"/>
  <c r="J41" i="1"/>
  <c r="E49" i="1"/>
  <c r="J63" i="1"/>
  <c r="I78" i="1"/>
  <c r="I111" i="1" s="1"/>
  <c r="K79" i="1"/>
  <c r="K94" i="1"/>
  <c r="J98" i="1"/>
  <c r="D116" i="1"/>
  <c r="H116" i="1" s="1"/>
  <c r="I117" i="1"/>
  <c r="J117" i="1" s="1"/>
  <c r="I16" i="1"/>
  <c r="J30" i="1"/>
  <c r="J69" i="1"/>
  <c r="J109" i="1"/>
  <c r="K30" i="1"/>
  <c r="K109" i="1"/>
  <c r="K16" i="1" l="1"/>
  <c r="J16" i="1"/>
  <c r="G125" i="1"/>
  <c r="K78" i="1"/>
  <c r="J78" i="1"/>
  <c r="J111" i="1" s="1"/>
  <c r="J115" i="1" s="1"/>
  <c r="H12" i="1"/>
  <c r="D16" i="1"/>
  <c r="H16" i="1" s="1"/>
  <c r="I115" i="1"/>
  <c r="K111" i="1"/>
  <c r="G126" i="1" l="1"/>
  <c r="G127" i="1" s="1"/>
  <c r="K115" i="1"/>
</calcChain>
</file>

<file path=xl/sharedStrings.xml><?xml version="1.0" encoding="utf-8"?>
<sst xmlns="http://schemas.openxmlformats.org/spreadsheetml/2006/main" count="398" uniqueCount="140">
  <si>
    <t>Rozpočet statutárního města Chomutova pro rok 2022</t>
  </si>
  <si>
    <t xml:space="preserve"> ROZPOČET r. 2022 - PŘÍJMY (v tis. Kč)</t>
  </si>
  <si>
    <t xml:space="preserve">DRUH PŘÍJMŮ </t>
  </si>
  <si>
    <t>Schválený rozpočet 2021</t>
  </si>
  <si>
    <t>Upravený rozpočet 2021</t>
  </si>
  <si>
    <t>Skutečnost k 30.6.2021</t>
  </si>
  <si>
    <t>Požadavek 2022</t>
  </si>
  <si>
    <t>Rozdíl ke SR 2022</t>
  </si>
  <si>
    <t>Návrh OE Rozpočet 2022</t>
  </si>
  <si>
    <t>Rozdíl oproti požadavku</t>
  </si>
  <si>
    <t>Změna oproti UR 2021</t>
  </si>
  <si>
    <r>
      <rPr>
        <b/>
        <sz val="11"/>
        <rFont val="Calibri"/>
        <family val="2"/>
        <charset val="238"/>
      </rP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</si>
  <si>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</si>
  <si>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</si>
  <si>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t>Třída 3 - kapitálové příjmy celkem</t>
  </si>
  <si>
    <t>Třída 4 - přijaté transfery celkem</t>
  </si>
  <si>
    <t>P Ř Í J M Y /bez financování/:</t>
  </si>
  <si>
    <t>Financování (volné FP - portfolio J&amp;T BANKA)</t>
  </si>
  <si>
    <t>ndf</t>
  </si>
  <si>
    <t>Financování (volné FP na účtech)</t>
  </si>
  <si>
    <t>Financování - Přijetí úvěru UCB</t>
  </si>
  <si>
    <t>PŘÍJMY CELKEM :</t>
  </si>
  <si>
    <t xml:space="preserve">Financování: </t>
  </si>
  <si>
    <t>portfólio J&amp;T BANKA - FRM</t>
  </si>
  <si>
    <t>pouze dle potřeby</t>
  </si>
  <si>
    <t>volné zdroje na účtech</t>
  </si>
  <si>
    <t>(volné FP)</t>
  </si>
  <si>
    <t>Úvěr UCB kontokorent - účtování a rozpočet - položka 8905</t>
  </si>
  <si>
    <t>ROZPOČET r. 2022 - VÝDAJE (v tis. Kč)</t>
  </si>
  <si>
    <t xml:space="preserve">DRUH VÝDAJŮ </t>
  </si>
  <si>
    <t>Třída 5 - běžné výdaje</t>
  </si>
  <si>
    <t>Třída 6 - kapitálové výdaje</t>
  </si>
  <si>
    <t>z toho: OMM</t>
  </si>
  <si>
    <t xml:space="preserve">ORI </t>
  </si>
  <si>
    <t>OŠ</t>
  </si>
  <si>
    <t>OKT - PB</t>
  </si>
  <si>
    <t>OIT</t>
  </si>
  <si>
    <t>MěPo</t>
  </si>
  <si>
    <t xml:space="preserve">OE </t>
  </si>
  <si>
    <t>Zoopark Chomutov</t>
  </si>
  <si>
    <t>TSMCH</t>
  </si>
  <si>
    <t>KASCV</t>
  </si>
  <si>
    <t>VÝDAJE CELKEM :</t>
  </si>
  <si>
    <t>ROZPOČET r. 2022 - REKAPITULACE (v tis. Kč)</t>
  </si>
  <si>
    <t>SOUHRNNÁ REKAPITULACE</t>
  </si>
  <si>
    <t>Příjmy</t>
  </si>
  <si>
    <t>Výdaje</t>
  </si>
  <si>
    <t>Saldo</t>
  </si>
  <si>
    <t>Příjmy po úpravách OE</t>
  </si>
  <si>
    <t>Výdaje po úpravách OE</t>
  </si>
  <si>
    <t>Saldo po úpravách OE</t>
  </si>
  <si>
    <t>Saldo bez vratek dotací</t>
  </si>
  <si>
    <t>provozní náklady projektové</t>
  </si>
  <si>
    <t>Čisté provozní saldo</t>
  </si>
  <si>
    <t>rezerva FRMK (jež je provozní, ale účelově určená na investice)</t>
  </si>
  <si>
    <t>saldo konečné</t>
  </si>
  <si>
    <t>Provozní rozpočet</t>
  </si>
  <si>
    <t>Kapitálový rozpočet</t>
  </si>
  <si>
    <t>Financování</t>
  </si>
  <si>
    <t>Financování (nový úvěr UCB)</t>
  </si>
  <si>
    <t>Celkem</t>
  </si>
  <si>
    <t>ROZPOČET r. 2022 - VÝDAJE - PODROBNĚJŠÍ ČLENĚNÍ (v tis. Kč)</t>
  </si>
  <si>
    <t xml:space="preserve">ORGANIZAČNÍ JEDNOTKA </t>
  </si>
  <si>
    <t>PRIM</t>
  </si>
  <si>
    <t xml:space="preserve">01 - ODBOR EKONOMIKY </t>
  </si>
  <si>
    <t>01 - ODBOR EKONOMIKY - REZERVA - běžná</t>
  </si>
  <si>
    <t>01 - ODBOR EKONOMIKY - REZERVA - investice</t>
  </si>
  <si>
    <t xml:space="preserve">02 - ODBOR MAJETKU MĚSTA </t>
  </si>
  <si>
    <t>1NÁM</t>
  </si>
  <si>
    <t xml:space="preserve">03 - ODBOR ROZVOJE INVESTIC  </t>
  </si>
  <si>
    <t>2NÁM</t>
  </si>
  <si>
    <t xml:space="preserve">04 - ODBOR SOCIÁLNÍCH VĚCÍ </t>
  </si>
  <si>
    <t xml:space="preserve">05 - ODBOR ŽIVOTNÍHO PROSTŘEDÍ </t>
  </si>
  <si>
    <t>TAJ</t>
  </si>
  <si>
    <t>06 - ODBOR DOPRAVNÍCH A SPRÁVNÍCH ČINNOSTÍ</t>
  </si>
  <si>
    <t xml:space="preserve">07 - ODBOR ŠKOLSTVÍ </t>
  </si>
  <si>
    <t xml:space="preserve">08 - ODBOR KANCELÁŘ TAJEMNÍKA </t>
  </si>
  <si>
    <t>10 - ODBOR INFORMAČNÍCH TECHNOLOGIÍ</t>
  </si>
  <si>
    <t>11 - ODBOR STAVEBNÍ ÚŘAD</t>
  </si>
  <si>
    <t>12 - ÚSEK PERSONÁLNÍ A MZDOVÝ</t>
  </si>
  <si>
    <t>13 - ODBOR VNĚJŠÍCH VZTAHŮ</t>
  </si>
  <si>
    <t>14 - ODBOR OBECNÍ ŽIVNOSTENSKÝ ÚŘAD</t>
  </si>
  <si>
    <t xml:space="preserve">15 - MĚSTSKÁ POLICIE </t>
  </si>
  <si>
    <t>16 - ORGANIZAČNÍ SLOŽKA - JEDN. SBORU DOBROVOL. HASIČŮ</t>
  </si>
  <si>
    <t>18 - ORGANIZAČNÍ SLOŽKA - PRACOVNÍ SKUPINA</t>
  </si>
  <si>
    <t>31 - PŘÍSPĚVKOVÉ ORGANIZACE</t>
  </si>
  <si>
    <t xml:space="preserve"> Zoopark Chomutov - provoz</t>
  </si>
  <si>
    <t xml:space="preserve"> Zoopark Chomutov - investice</t>
  </si>
  <si>
    <t xml:space="preserve"> Zoopark Chomutov - neinvestice  projekty</t>
  </si>
  <si>
    <t xml:space="preserve"> Zoopark Chomutov - investice  projekty</t>
  </si>
  <si>
    <t>Městské lesy - provoz</t>
  </si>
  <si>
    <t>Městské lesy - projekt, náhrady</t>
  </si>
  <si>
    <t xml:space="preserve">Městské lesy - investiční příspěvek + NFV </t>
  </si>
  <si>
    <t>Sociální služby Chomutov - provoz</t>
  </si>
  <si>
    <t>Sociální služby Chomutov - dotace na sociální služby ÚZ 13305</t>
  </si>
  <si>
    <t>Sociální služby Chomutov - projekt ÚZ 13351</t>
  </si>
  <si>
    <t xml:space="preserve">Sociální služby Chomutov - Azylový dům </t>
  </si>
  <si>
    <t>Sociální služby Chomutov - Provoz dětské skupiny Mája</t>
  </si>
  <si>
    <t>Sociální služby Chomutov - finanční vypořádání</t>
  </si>
  <si>
    <t>Technické služby města Chomutova - provoz</t>
  </si>
  <si>
    <t>Technické služby města Chomutova - investice</t>
  </si>
  <si>
    <t>Chomutovská knihovna - provoz</t>
  </si>
  <si>
    <t>Chomutovská knihovna - regionální funkce knihoven</t>
  </si>
  <si>
    <t>Chomutovská knihovna - neinvestice projekt</t>
  </si>
  <si>
    <t>Chomutovská knihovna - investice projekt</t>
  </si>
  <si>
    <t xml:space="preserve">32 - OBCHODNÍ SPOLEČNOSTI </t>
  </si>
  <si>
    <t>Dopravní podnik měst CV a Jirkova a.s.</t>
  </si>
  <si>
    <t>Dopravní podnik měst CV a Jirkova a.s. - rekreační doprava</t>
  </si>
  <si>
    <t>Dopravní podnik měst CV a Jirkova a.s. - nákup služeb dle příkazní smlouvy</t>
  </si>
  <si>
    <t>Dopravní podnik měst CV a Jirkova a.s. - dopravní obslužnost dle smlouvy s ÚK</t>
  </si>
  <si>
    <t>KULTURA A SPORT CHOMUTOV s.r.o. - provoz</t>
  </si>
  <si>
    <t xml:space="preserve">KULTURA A SPORT CHOMUTOV s.r.o. - investice </t>
  </si>
  <si>
    <t>KULTURA A SPORT CHOMUTOV s.r.o. - účelová dotace - investice</t>
  </si>
  <si>
    <r>
      <rPr>
        <i/>
        <sz val="11"/>
        <rFont val="Calibri"/>
        <family val="2"/>
        <charset val="238"/>
      </rPr>
      <t>KULTURA A SPORT CHOMUTOV s.r.o. -</t>
    </r>
    <r>
      <rPr>
        <i/>
        <sz val="11"/>
        <color rgb="FF00B0F0"/>
        <rFont val="Calibri"/>
        <family val="2"/>
        <charset val="238"/>
      </rPr>
      <t xml:space="preserve"> účelová dotace - opravy</t>
    </r>
  </si>
  <si>
    <t>CHOMUTOVSKÁ BYTOVÁ a.s.</t>
  </si>
  <si>
    <t>33 - ŠKOLY a ŠKOLSKÁ ZAŘÍZENÍ</t>
  </si>
  <si>
    <t>VÝDAJE CELKEM:</t>
  </si>
  <si>
    <t xml:space="preserve">               financování - volné FP na účtech</t>
  </si>
  <si>
    <t xml:space="preserve">               financování - splátka půjčených FP - UCB</t>
  </si>
  <si>
    <t xml:space="preserve">               financování - splátka půjčených FP - KB</t>
  </si>
  <si>
    <t>VÝDAJE CELKEM, včetně financování</t>
  </si>
  <si>
    <t>z toho: běžné výdaje</t>
  </si>
  <si>
    <t xml:space="preserve">               kapitálové výdaje</t>
  </si>
  <si>
    <t xml:space="preserve">               financování (změna stavu FP na účtech)</t>
  </si>
  <si>
    <t xml:space="preserve">               financování - splátka půjčených FP (KB a UCB)</t>
  </si>
  <si>
    <t xml:space="preserve"> Financování: </t>
  </si>
  <si>
    <t xml:space="preserve">  49 170,0 tis. Kč - splátka půjčených FP KB  (úvěr)</t>
  </si>
  <si>
    <t>200 000,0 tis. Kč - splátka půjčených FP - UCB (úvěr) kontokorent - účtování a rozpočet - položka 8905</t>
  </si>
  <si>
    <t>Rozpočet</t>
  </si>
  <si>
    <t>Požadavky</t>
  </si>
  <si>
    <t>Úprava OE</t>
  </si>
  <si>
    <t>Objem příjmů</t>
  </si>
  <si>
    <t xml:space="preserve">Objem výdajů </t>
  </si>
  <si>
    <t>ROZDÍL</t>
  </si>
  <si>
    <t>Rekapitulace</t>
  </si>
  <si>
    <t>přebytek/deficit</t>
  </si>
  <si>
    <t>zvýšení příjmů</t>
  </si>
  <si>
    <t>FIN/P</t>
  </si>
  <si>
    <t>portfólio a prostředky na účtech a fondech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</si>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</sst>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d/m/yyyy"/>
    <numFmt numFmtId="166" formatCode="0.00\ %"/>
    <numFmt numFmtId="167" formatCode="#,##0.00_ ;[Red]\-#,##0.00\ "/>
  </numFmts>
  <fonts count="29" x14ac:knownFonts="1"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20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rgb="FFFF0000"/>
      <name val="Calibri"/>
      <family val="2"/>
      <charset val="238"/>
    </font>
    <font>
      <sz val="22"/>
      <color rgb="FF000000"/>
      <name val="Calibri"/>
      <family val="2"/>
      <charset val="238"/>
    </font>
    <font>
      <b/>
      <sz val="22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2"/>
      <color rgb="FFFFFFFF"/>
      <name val="Calibri"/>
      <family val="2"/>
      <charset val="238"/>
    </font>
    <font>
      <sz val="12"/>
      <color rgb="FFFFFFFF"/>
      <name val="Calibri"/>
      <family val="2"/>
      <charset val="238"/>
    </font>
    <font>
      <sz val="8"/>
      <color rgb="FFFFFFFF"/>
      <name val="Calibri"/>
      <family val="2"/>
      <charset val="238"/>
    </font>
    <font>
      <sz val="7"/>
      <color rgb="FFFFFFFF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rgb="FFFF0000"/>
      <name val="Calibri"/>
      <family val="2"/>
      <charset val="238"/>
    </font>
    <font>
      <sz val="11"/>
      <color rgb="FFFFC000"/>
      <name val="Calibri"/>
      <family val="2"/>
      <charset val="238"/>
    </font>
    <font>
      <b/>
      <sz val="11"/>
      <color rgb="FF002060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002060"/>
      <name val="Calibri"/>
      <family val="2"/>
      <charset val="238"/>
    </font>
    <font>
      <i/>
      <sz val="11"/>
      <color rgb="FF00B0F0"/>
      <name val="Calibri"/>
      <family val="2"/>
      <charset val="238"/>
    </font>
    <font>
      <sz val="10"/>
      <color rgb="FF00B0F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9900"/>
        <bgColor rgb="FFFFC000"/>
      </patternFill>
    </fill>
    <fill>
      <patternFill patternType="solid">
        <fgColor rgb="FF666699"/>
        <bgColor rgb="FF808080"/>
      </patternFill>
    </fill>
    <fill>
      <patternFill patternType="solid">
        <fgColor rgb="FF99CCFF"/>
        <bgColor rgb="FFC6D9F1"/>
      </patternFill>
    </fill>
    <fill>
      <patternFill patternType="solid">
        <fgColor rgb="FFFFFF00"/>
        <bgColor rgb="FFFFFF00"/>
      </patternFill>
    </fill>
    <fill>
      <patternFill patternType="solid">
        <fgColor rgb="FF808080"/>
        <bgColor rgb="FF969696"/>
      </patternFill>
    </fill>
    <fill>
      <patternFill patternType="solid">
        <fgColor rgb="FF99CC00"/>
        <bgColor rgb="FFFFC000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5" fillId="0" borderId="0" applyBorder="0" applyProtection="0"/>
    <xf numFmtId="0" fontId="1" fillId="0" borderId="0" applyBorder="0" applyProtection="0"/>
    <xf numFmtId="0" fontId="2" fillId="0" borderId="0"/>
  </cellStyleXfs>
  <cellXfs count="26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49" fontId="0" fillId="0" borderId="0" xfId="0" applyNumberFormat="1" applyFont="1"/>
    <xf numFmtId="0" fontId="3" fillId="2" borderId="0" xfId="0" applyFont="1" applyFill="1" applyAlignment="1">
      <alignment horizontal="right"/>
    </xf>
    <xf numFmtId="164" fontId="0" fillId="0" borderId="0" xfId="0" applyNumberFormat="1" applyFont="1"/>
    <xf numFmtId="0" fontId="5" fillId="0" borderId="0" xfId="1" applyBorder="1" applyAlignment="1" applyProtection="1"/>
    <xf numFmtId="0" fontId="6" fillId="0" borderId="0" xfId="0" applyFont="1"/>
    <xf numFmtId="165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/>
    <xf numFmtId="0" fontId="9" fillId="2" borderId="0" xfId="0" applyFont="1" applyFill="1" applyAlignment="1">
      <alignment horizontal="right"/>
    </xf>
    <xf numFmtId="164" fontId="8" fillId="0" borderId="0" xfId="0" applyNumberFormat="1" applyFont="1"/>
    <xf numFmtId="0" fontId="11" fillId="0" borderId="2" xfId="0" applyFont="1" applyBorder="1"/>
    <xf numFmtId="0" fontId="12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164" fontId="13" fillId="5" borderId="5" xfId="0" applyNumberFormat="1" applyFont="1" applyFill="1" applyBorder="1"/>
    <xf numFmtId="164" fontId="3" fillId="5" borderId="5" xfId="0" applyNumberFormat="1" applyFont="1" applyFill="1" applyBorder="1"/>
    <xf numFmtId="166" fontId="11" fillId="5" borderId="5" xfId="0" applyNumberFormat="1" applyFont="1" applyFill="1" applyBorder="1"/>
    <xf numFmtId="0" fontId="3" fillId="5" borderId="5" xfId="0" applyFont="1" applyFill="1" applyBorder="1" applyAlignment="1"/>
    <xf numFmtId="164" fontId="14" fillId="5" borderId="5" xfId="0" applyNumberFormat="1" applyFont="1" applyFill="1" applyBorder="1"/>
    <xf numFmtId="164" fontId="15" fillId="0" borderId="0" xfId="0" applyNumberFormat="1" applyFont="1"/>
    <xf numFmtId="0" fontId="12" fillId="4" borderId="4" xfId="0" applyFont="1" applyFill="1" applyBorder="1" applyAlignment="1">
      <alignment horizontal="left"/>
    </xf>
    <xf numFmtId="164" fontId="12" fillId="4" borderId="5" xfId="0" applyNumberFormat="1" applyFont="1" applyFill="1" applyBorder="1"/>
    <xf numFmtId="166" fontId="16" fillId="4" borderId="5" xfId="0" applyNumberFormat="1" applyFont="1" applyFill="1" applyBorder="1"/>
    <xf numFmtId="0" fontId="3" fillId="0" borderId="6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7" xfId="0" applyNumberFormat="1" applyFont="1" applyBorder="1"/>
    <xf numFmtId="164" fontId="14" fillId="0" borderId="6" xfId="0" applyNumberFormat="1" applyFont="1" applyBorder="1"/>
    <xf numFmtId="166" fontId="11" fillId="0" borderId="6" xfId="0" applyNumberFormat="1" applyFont="1" applyBorder="1" applyAlignment="1">
      <alignment horizontal="right"/>
    </xf>
    <xf numFmtId="164" fontId="3" fillId="6" borderId="6" xfId="0" applyNumberFormat="1" applyFont="1" applyFill="1" applyBorder="1"/>
    <xf numFmtId="164" fontId="14" fillId="2" borderId="6" xfId="0" applyNumberFormat="1" applyFont="1" applyFill="1" applyBorder="1"/>
    <xf numFmtId="164" fontId="3" fillId="2" borderId="6" xfId="0" applyNumberFormat="1" applyFont="1" applyFill="1" applyBorder="1"/>
    <xf numFmtId="0" fontId="17" fillId="4" borderId="4" xfId="0" applyFont="1" applyFill="1" applyBorder="1" applyAlignment="1"/>
    <xf numFmtId="164" fontId="17" fillId="4" borderId="5" xfId="0" applyNumberFormat="1" applyFont="1" applyFill="1" applyBorder="1"/>
    <xf numFmtId="166" fontId="18" fillId="4" borderId="5" xfId="0" applyNumberFormat="1" applyFont="1" applyFill="1" applyBorder="1"/>
    <xf numFmtId="0" fontId="11" fillId="0" borderId="8" xfId="0" applyFont="1" applyBorder="1"/>
    <xf numFmtId="0" fontId="11" fillId="0" borderId="0" xfId="0" applyFont="1"/>
    <xf numFmtId="0" fontId="11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horizontal="lef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 applyFont="1"/>
    <xf numFmtId="0" fontId="3" fillId="0" borderId="5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right"/>
    </xf>
    <xf numFmtId="164" fontId="3" fillId="0" borderId="9" xfId="0" applyNumberFormat="1" applyFont="1" applyBorder="1"/>
    <xf numFmtId="4" fontId="3" fillId="0" borderId="9" xfId="0" applyNumberFormat="1" applyFont="1" applyBorder="1"/>
    <xf numFmtId="4" fontId="3" fillId="6" borderId="5" xfId="0" applyNumberFormat="1" applyFont="1" applyFill="1" applyBorder="1" applyAlignment="1">
      <alignment horizontal="right"/>
    </xf>
    <xf numFmtId="4" fontId="3" fillId="0" borderId="4" xfId="0" applyNumberFormat="1" applyFont="1" applyBorder="1" applyAlignment="1">
      <alignment horizontal="right"/>
    </xf>
    <xf numFmtId="166" fontId="11" fillId="0" borderId="5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4" fontId="3" fillId="0" borderId="5" xfId="0" applyNumberFormat="1" applyFont="1" applyBorder="1" applyAlignment="1">
      <alignment horizontal="right"/>
    </xf>
    <xf numFmtId="4" fontId="3" fillId="6" borderId="5" xfId="0" applyNumberFormat="1" applyFont="1" applyFill="1" applyBorder="1"/>
    <xf numFmtId="0" fontId="11" fillId="0" borderId="9" xfId="0" applyFont="1" applyBorder="1"/>
    <xf numFmtId="4" fontId="11" fillId="0" borderId="9" xfId="0" applyNumberFormat="1" applyFont="1" applyBorder="1"/>
    <xf numFmtId="4" fontId="11" fillId="0" borderId="9" xfId="0" applyNumberFormat="1" applyFont="1" applyBorder="1" applyAlignment="1">
      <alignment horizontal="right"/>
    </xf>
    <xf numFmtId="4" fontId="11" fillId="0" borderId="9" xfId="0" applyNumberFormat="1" applyFont="1" applyBorder="1" applyAlignment="1">
      <alignment horizontal="right"/>
    </xf>
    <xf numFmtId="4" fontId="11" fillId="0" borderId="10" xfId="0" applyNumberFormat="1" applyFont="1" applyBorder="1" applyAlignment="1">
      <alignment horizontal="right"/>
    </xf>
    <xf numFmtId="166" fontId="11" fillId="0" borderId="7" xfId="0" applyNumberFormat="1" applyFont="1" applyBorder="1"/>
    <xf numFmtId="0" fontId="11" fillId="0" borderId="11" xfId="0" applyFont="1" applyBorder="1" applyAlignment="1">
      <alignment horizontal="left" indent="8"/>
    </xf>
    <xf numFmtId="4" fontId="11" fillId="0" borderId="11" xfId="0" applyNumberFormat="1" applyFont="1" applyBorder="1"/>
    <xf numFmtId="4" fontId="11" fillId="0" borderId="11" xfId="0" applyNumberFormat="1" applyFont="1" applyBorder="1" applyAlignment="1">
      <alignment horizontal="right"/>
    </xf>
    <xf numFmtId="4" fontId="11" fillId="0" borderId="11" xfId="0" applyNumberFormat="1" applyFont="1" applyBorder="1" applyAlignment="1">
      <alignment horizontal="right"/>
    </xf>
    <xf numFmtId="4" fontId="11" fillId="6" borderId="11" xfId="0" applyNumberFormat="1" applyFont="1" applyFill="1" applyBorder="1"/>
    <xf numFmtId="4" fontId="11" fillId="0" borderId="12" xfId="0" applyNumberFormat="1" applyFont="1" applyBorder="1" applyAlignment="1">
      <alignment horizontal="right"/>
    </xf>
    <xf numFmtId="166" fontId="11" fillId="0" borderId="11" xfId="0" applyNumberFormat="1" applyFont="1" applyBorder="1"/>
    <xf numFmtId="164" fontId="6" fillId="0" borderId="0" xfId="0" applyNumberFormat="1" applyFont="1"/>
    <xf numFmtId="166" fontId="11" fillId="0" borderId="11" xfId="0" applyNumberFormat="1" applyFont="1" applyBorder="1" applyAlignment="1">
      <alignment horizontal="right"/>
    </xf>
    <xf numFmtId="4" fontId="7" fillId="0" borderId="11" xfId="0" applyNumberFormat="1" applyFont="1" applyBorder="1"/>
    <xf numFmtId="0" fontId="12" fillId="4" borderId="4" xfId="0" applyFont="1" applyFill="1" applyBorder="1" applyAlignment="1"/>
    <xf numFmtId="4" fontId="12" fillId="4" borderId="5" xfId="0" applyNumberFormat="1" applyFont="1" applyFill="1" applyBorder="1"/>
    <xf numFmtId="4" fontId="12" fillId="4" borderId="5" xfId="0" applyNumberFormat="1" applyFont="1" applyFill="1" applyBorder="1" applyAlignment="1">
      <alignment horizontal="right"/>
    </xf>
    <xf numFmtId="4" fontId="12" fillId="4" borderId="4" xfId="0" applyNumberFormat="1" applyFont="1" applyFill="1" applyBorder="1" applyAlignment="1">
      <alignment horizontal="right"/>
    </xf>
    <xf numFmtId="0" fontId="0" fillId="0" borderId="0" xfId="0" applyFont="1" applyBorder="1"/>
    <xf numFmtId="0" fontId="12" fillId="0" borderId="0" xfId="0" applyFont="1" applyBorder="1" applyAlignment="1"/>
    <xf numFmtId="4" fontId="12" fillId="0" borderId="0" xfId="0" applyNumberFormat="1" applyFont="1" applyBorder="1"/>
    <xf numFmtId="4" fontId="12" fillId="0" borderId="0" xfId="0" applyNumberFormat="1" applyFont="1" applyBorder="1" applyAlignment="1">
      <alignment horizontal="left"/>
    </xf>
    <xf numFmtId="4" fontId="16" fillId="0" borderId="0" xfId="0" applyNumberFormat="1" applyFont="1" applyBorder="1"/>
    <xf numFmtId="2" fontId="0" fillId="0" borderId="0" xfId="0" applyNumberFormat="1" applyFont="1"/>
    <xf numFmtId="0" fontId="0" fillId="0" borderId="0" xfId="0" applyFont="1" applyBorder="1" applyAlignment="1">
      <alignment horizontal="center" vertical="center"/>
    </xf>
    <xf numFmtId="49" fontId="0" fillId="0" borderId="0" xfId="0" applyNumberFormat="1" applyFont="1" applyBorder="1"/>
    <xf numFmtId="0" fontId="3" fillId="2" borderId="0" xfId="0" applyFont="1" applyFill="1" applyBorder="1" applyAlignment="1">
      <alignment horizontal="right"/>
    </xf>
    <xf numFmtId="164" fontId="0" fillId="0" borderId="0" xfId="0" applyNumberFormat="1" applyFont="1" applyBorder="1"/>
    <xf numFmtId="0" fontId="11" fillId="0" borderId="0" xfId="0" applyFont="1" applyBorder="1"/>
    <xf numFmtId="4" fontId="0" fillId="0" borderId="0" xfId="0" applyNumberFormat="1" applyFont="1" applyBorder="1"/>
    <xf numFmtId="4" fontId="3" fillId="2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/>
    <xf numFmtId="49" fontId="11" fillId="0" borderId="0" xfId="0" applyNumberFormat="1" applyFont="1" applyBorder="1"/>
    <xf numFmtId="0" fontId="12" fillId="4" borderId="5" xfId="0" applyFont="1" applyFill="1" applyBorder="1" applyAlignment="1"/>
    <xf numFmtId="4" fontId="12" fillId="4" borderId="4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wrapText="1"/>
    </xf>
    <xf numFmtId="164" fontId="19" fillId="0" borderId="0" xfId="0" applyNumberFormat="1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center" wrapText="1"/>
    </xf>
    <xf numFmtId="4" fontId="20" fillId="0" borderId="0" xfId="0" applyNumberFormat="1" applyFont="1" applyBorder="1" applyAlignment="1">
      <alignment horizontal="center" wrapText="1"/>
    </xf>
    <xf numFmtId="0" fontId="16" fillId="0" borderId="0" xfId="0" applyFont="1" applyBorder="1"/>
    <xf numFmtId="0" fontId="3" fillId="0" borderId="7" xfId="0" applyFont="1" applyBorder="1" applyAlignment="1"/>
    <xf numFmtId="4" fontId="11" fillId="0" borderId="13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right"/>
    </xf>
    <xf numFmtId="4" fontId="11" fillId="0" borderId="14" xfId="0" applyNumberFormat="1" applyFont="1" applyBorder="1" applyAlignment="1">
      <alignment horizontal="right"/>
    </xf>
    <xf numFmtId="4" fontId="11" fillId="0" borderId="14" xfId="0" applyNumberFormat="1" applyFont="1" applyBorder="1"/>
    <xf numFmtId="4" fontId="3" fillId="2" borderId="0" xfId="0" applyNumberFormat="1" applyFont="1" applyFill="1" applyAlignment="1">
      <alignment horizontal="right"/>
    </xf>
    <xf numFmtId="164" fontId="19" fillId="0" borderId="0" xfId="0" applyNumberFormat="1" applyFont="1" applyBorder="1"/>
    <xf numFmtId="4" fontId="19" fillId="0" borderId="0" xfId="0" applyNumberFormat="1" applyFont="1" applyBorder="1"/>
    <xf numFmtId="0" fontId="3" fillId="0" borderId="11" xfId="0" applyFont="1" applyBorder="1" applyAlignment="1"/>
    <xf numFmtId="4" fontId="11" fillId="0" borderId="0" xfId="0" applyNumberFormat="1" applyFont="1" applyBorder="1"/>
    <xf numFmtId="0" fontId="3" fillId="0" borderId="14" xfId="0" applyFont="1" applyBorder="1" applyAlignment="1"/>
    <xf numFmtId="4" fontId="11" fillId="0" borderId="15" xfId="0" applyNumberFormat="1" applyFont="1" applyBorder="1" applyAlignment="1">
      <alignment horizontal="right"/>
    </xf>
    <xf numFmtId="4" fontId="7" fillId="2" borderId="15" xfId="0" applyNumberFormat="1" applyFont="1" applyFill="1" applyBorder="1" applyAlignment="1">
      <alignment horizontal="right"/>
    </xf>
    <xf numFmtId="0" fontId="3" fillId="3" borderId="5" xfId="0" applyFont="1" applyFill="1" applyBorder="1" applyAlignment="1"/>
    <xf numFmtId="4" fontId="3" fillId="3" borderId="4" xfId="0" applyNumberFormat="1" applyFont="1" applyFill="1" applyBorder="1" applyAlignment="1">
      <alignment horizontal="right"/>
    </xf>
    <xf numFmtId="4" fontId="3" fillId="3" borderId="5" xfId="0" applyNumberFormat="1" applyFont="1" applyFill="1" applyBorder="1" applyAlignment="1">
      <alignment horizontal="right"/>
    </xf>
    <xf numFmtId="4" fontId="21" fillId="3" borderId="5" xfId="0" applyNumberFormat="1" applyFont="1" applyFill="1" applyBorder="1" applyAlignment="1">
      <alignment horizontal="right"/>
    </xf>
    <xf numFmtId="4" fontId="21" fillId="2" borderId="0" xfId="0" applyNumberFormat="1" applyFont="1" applyFill="1" applyBorder="1" applyAlignment="1">
      <alignment horizontal="right"/>
    </xf>
    <xf numFmtId="4" fontId="0" fillId="0" borderId="0" xfId="0" applyNumberFormat="1" applyFont="1"/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9" fontId="0" fillId="0" borderId="0" xfId="0" applyNumberFormat="1" applyFont="1"/>
    <xf numFmtId="0" fontId="3" fillId="0" borderId="0" xfId="0" applyFont="1" applyBorder="1" applyAlignment="1">
      <alignment horizontal="left" indent="1"/>
    </xf>
    <xf numFmtId="4" fontId="14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7" fillId="0" borderId="0" xfId="0" applyFont="1" applyBorder="1"/>
    <xf numFmtId="0" fontId="0" fillId="0" borderId="15" xfId="0" applyFont="1" applyBorder="1"/>
    <xf numFmtId="0" fontId="0" fillId="0" borderId="16" xfId="0" applyFont="1" applyBorder="1" applyAlignment="1">
      <alignment horizontal="center" vertical="center"/>
    </xf>
    <xf numFmtId="0" fontId="3" fillId="5" borderId="5" xfId="0" applyFont="1" applyFill="1" applyBorder="1"/>
    <xf numFmtId="166" fontId="11" fillId="5" borderId="5" xfId="0" applyNumberFormat="1" applyFont="1" applyFill="1" applyBorder="1" applyAlignment="1">
      <alignment horizontal="right"/>
    </xf>
    <xf numFmtId="164" fontId="14" fillId="6" borderId="5" xfId="0" applyNumberFormat="1" applyFont="1" applyFill="1" applyBorder="1"/>
    <xf numFmtId="164" fontId="3" fillId="5" borderId="4" xfId="0" applyNumberFormat="1" applyFont="1" applyFill="1" applyBorder="1"/>
    <xf numFmtId="164" fontId="22" fillId="0" borderId="0" xfId="0" applyNumberFormat="1" applyFont="1"/>
    <xf numFmtId="164" fontId="3" fillId="5" borderId="5" xfId="0" applyNumberFormat="1" applyFont="1" applyFill="1" applyBorder="1" applyAlignment="1">
      <alignment horizontal="right"/>
    </xf>
    <xf numFmtId="164" fontId="3" fillId="5" borderId="4" xfId="0" applyNumberFormat="1" applyFont="1" applyFill="1" applyBorder="1" applyAlignment="1">
      <alignment horizontal="right"/>
    </xf>
    <xf numFmtId="164" fontId="13" fillId="5" borderId="5" xfId="0" applyNumberFormat="1" applyFont="1" applyFill="1" applyBorder="1" applyAlignment="1">
      <alignment horizontal="right"/>
    </xf>
    <xf numFmtId="0" fontId="0" fillId="0" borderId="17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left"/>
    </xf>
    <xf numFmtId="164" fontId="14" fillId="6" borderId="5" xfId="0" applyNumberFormat="1" applyFont="1" applyFill="1" applyBorder="1" applyAlignment="1">
      <alignment horizontal="right"/>
    </xf>
    <xf numFmtId="164" fontId="14" fillId="5" borderId="5" xfId="0" applyNumberFormat="1" applyFont="1" applyFill="1" applyBorder="1" applyAlignment="1">
      <alignment horizontal="right"/>
    </xf>
    <xf numFmtId="164" fontId="23" fillId="0" borderId="0" xfId="0" applyNumberFormat="1" applyFont="1"/>
    <xf numFmtId="0" fontId="3" fillId="5" borderId="14" xfId="0" applyFont="1" applyFill="1" applyBorder="1"/>
    <xf numFmtId="164" fontId="24" fillId="5" borderId="5" xfId="0" applyNumberFormat="1" applyFont="1" applyFill="1" applyBorder="1"/>
    <xf numFmtId="0" fontId="25" fillId="2" borderId="10" xfId="0" applyFont="1" applyFill="1" applyBorder="1" applyAlignment="1">
      <alignment horizontal="left" indent="5"/>
    </xf>
    <xf numFmtId="164" fontId="26" fillId="0" borderId="9" xfId="0" applyNumberFormat="1" applyFont="1" applyBorder="1"/>
    <xf numFmtId="164" fontId="11" fillId="2" borderId="9" xfId="0" applyNumberFormat="1" applyFont="1" applyFill="1" applyBorder="1"/>
    <xf numFmtId="164" fontId="11" fillId="0" borderId="9" xfId="0" applyNumberFormat="1" applyFont="1" applyBorder="1"/>
    <xf numFmtId="164" fontId="7" fillId="6" borderId="9" xfId="0" applyNumberFormat="1" applyFont="1" applyFill="1" applyBorder="1"/>
    <xf numFmtId="164" fontId="11" fillId="0" borderId="10" xfId="0" applyNumberFormat="1" applyFont="1" applyBorder="1"/>
    <xf numFmtId="166" fontId="11" fillId="0" borderId="9" xfId="0" applyNumberFormat="1" applyFont="1" applyBorder="1" applyAlignment="1">
      <alignment horizontal="right"/>
    </xf>
    <xf numFmtId="0" fontId="25" fillId="2" borderId="13" xfId="0" applyFont="1" applyFill="1" applyBorder="1" applyAlignment="1">
      <alignment horizontal="left" indent="5"/>
    </xf>
    <xf numFmtId="164" fontId="26" fillId="0" borderId="11" xfId="0" applyNumberFormat="1" applyFont="1" applyBorder="1"/>
    <xf numFmtId="164" fontId="11" fillId="2" borderId="11" xfId="0" applyNumberFormat="1" applyFont="1" applyFill="1" applyBorder="1"/>
    <xf numFmtId="164" fontId="11" fillId="0" borderId="11" xfId="0" applyNumberFormat="1" applyFont="1" applyBorder="1"/>
    <xf numFmtId="164" fontId="7" fillId="0" borderId="11" xfId="0" applyNumberFormat="1" applyFont="1" applyBorder="1"/>
    <xf numFmtId="164" fontId="0" fillId="0" borderId="11" xfId="0" applyNumberFormat="1" applyFont="1" applyBorder="1"/>
    <xf numFmtId="164" fontId="11" fillId="0" borderId="12" xfId="0" applyNumberFormat="1" applyFont="1" applyBorder="1"/>
    <xf numFmtId="0" fontId="25" fillId="2" borderId="12" xfId="0" applyFont="1" applyFill="1" applyBorder="1" applyAlignment="1">
      <alignment horizontal="left" indent="5"/>
    </xf>
    <xf numFmtId="164" fontId="7" fillId="6" borderId="11" xfId="0" applyNumberFormat="1" applyFont="1" applyFill="1" applyBorder="1"/>
    <xf numFmtId="164" fontId="26" fillId="2" borderId="11" xfId="0" applyNumberFormat="1" applyFont="1" applyFill="1" applyBorder="1"/>
    <xf numFmtId="164" fontId="0" fillId="2" borderId="11" xfId="0" applyNumberFormat="1" applyFont="1" applyFill="1" applyBorder="1"/>
    <xf numFmtId="164" fontId="7" fillId="2" borderId="11" xfId="0" applyNumberFormat="1" applyFont="1" applyFill="1" applyBorder="1"/>
    <xf numFmtId="164" fontId="26" fillId="2" borderId="6" xfId="0" applyNumberFormat="1" applyFont="1" applyFill="1" applyBorder="1"/>
    <xf numFmtId="164" fontId="7" fillId="2" borderId="6" xfId="0" applyNumberFormat="1" applyFont="1" applyFill="1" applyBorder="1"/>
    <xf numFmtId="164" fontId="11" fillId="2" borderId="6" xfId="0" applyNumberFormat="1" applyFont="1" applyFill="1" applyBorder="1"/>
    <xf numFmtId="164" fontId="11" fillId="0" borderId="18" xfId="0" applyNumberFormat="1" applyFont="1" applyBorder="1"/>
    <xf numFmtId="0" fontId="25" fillId="2" borderId="18" xfId="0" applyFont="1" applyFill="1" applyBorder="1" applyAlignment="1">
      <alignment horizontal="left" indent="5"/>
    </xf>
    <xf numFmtId="164" fontId="11" fillId="0" borderId="6" xfId="0" applyNumberFormat="1" applyFont="1" applyBorder="1"/>
    <xf numFmtId="164" fontId="7" fillId="6" borderId="6" xfId="0" applyNumberFormat="1" applyFont="1" applyFill="1" applyBorder="1"/>
    <xf numFmtId="164" fontId="26" fillId="0" borderId="6" xfId="0" applyNumberFormat="1" applyFont="1" applyBorder="1"/>
    <xf numFmtId="164" fontId="0" fillId="0" borderId="6" xfId="0" applyNumberFormat="1" applyFont="1" applyBorder="1"/>
    <xf numFmtId="164" fontId="26" fillId="0" borderId="19" xfId="0" applyNumberFormat="1" applyFont="1" applyBorder="1"/>
    <xf numFmtId="164" fontId="11" fillId="2" borderId="19" xfId="0" applyNumberFormat="1" applyFont="1" applyFill="1" applyBorder="1"/>
    <xf numFmtId="164" fontId="11" fillId="0" borderId="19" xfId="0" applyNumberFormat="1" applyFont="1" applyBorder="1"/>
    <xf numFmtId="164" fontId="0" fillId="0" borderId="19" xfId="0" applyNumberFormat="1" applyFont="1" applyBorder="1"/>
    <xf numFmtId="164" fontId="11" fillId="0" borderId="20" xfId="0" applyNumberFormat="1" applyFont="1" applyBorder="1"/>
    <xf numFmtId="166" fontId="11" fillId="0" borderId="19" xfId="0" applyNumberFormat="1" applyFont="1" applyBorder="1" applyAlignment="1">
      <alignment horizontal="right"/>
    </xf>
    <xf numFmtId="164" fontId="24" fillId="5" borderId="14" xfId="0" applyNumberFormat="1" applyFont="1" applyFill="1" applyBorder="1"/>
    <xf numFmtId="164" fontId="3" fillId="5" borderId="14" xfId="0" applyNumberFormat="1" applyFont="1" applyFill="1" applyBorder="1"/>
    <xf numFmtId="164" fontId="3" fillId="5" borderId="15" xfId="0" applyNumberFormat="1" applyFont="1" applyFill="1" applyBorder="1"/>
    <xf numFmtId="166" fontId="11" fillId="5" borderId="14" xfId="0" applyNumberFormat="1" applyFont="1" applyFill="1" applyBorder="1" applyAlignment="1">
      <alignment horizontal="right"/>
    </xf>
    <xf numFmtId="164" fontId="26" fillId="0" borderId="7" xfId="0" applyNumberFormat="1" applyFont="1" applyBorder="1"/>
    <xf numFmtId="164" fontId="11" fillId="0" borderId="7" xfId="0" applyNumberFormat="1" applyFont="1" applyBorder="1"/>
    <xf numFmtId="166" fontId="11" fillId="0" borderId="7" xfId="0" applyNumberFormat="1" applyFont="1" applyBorder="1" applyAlignment="1">
      <alignment horizontal="right"/>
    </xf>
    <xf numFmtId="0" fontId="25" fillId="2" borderId="15" xfId="0" applyFont="1" applyFill="1" applyBorder="1" applyAlignment="1">
      <alignment horizontal="left" indent="5"/>
    </xf>
    <xf numFmtId="4" fontId="0" fillId="0" borderId="6" xfId="0" applyNumberFormat="1" applyFont="1" applyBorder="1"/>
    <xf numFmtId="0" fontId="0" fillId="0" borderId="16" xfId="0" applyFont="1" applyBorder="1" applyAlignment="1">
      <alignment horizontal="right" vertical="center"/>
    </xf>
    <xf numFmtId="164" fontId="26" fillId="2" borderId="7" xfId="0" applyNumberFormat="1" applyFont="1" applyFill="1" applyBorder="1"/>
    <xf numFmtId="4" fontId="0" fillId="0" borderId="22" xfId="0" applyNumberFormat="1" applyFont="1" applyBorder="1"/>
    <xf numFmtId="164" fontId="11" fillId="2" borderId="7" xfId="0" applyNumberFormat="1" applyFont="1" applyFill="1" applyBorder="1"/>
    <xf numFmtId="0" fontId="0" fillId="0" borderId="16" xfId="0" applyFont="1" applyBorder="1" applyAlignment="1">
      <alignment vertical="center"/>
    </xf>
    <xf numFmtId="0" fontId="17" fillId="4" borderId="5" xfId="0" applyFont="1" applyFill="1" applyBorder="1"/>
    <xf numFmtId="164" fontId="12" fillId="4" borderId="22" xfId="0" applyNumberFormat="1" applyFont="1" applyFill="1" applyBorder="1"/>
    <xf numFmtId="166" fontId="12" fillId="4" borderId="22" xfId="0" applyNumberFormat="1" applyFont="1" applyFill="1" applyBorder="1" applyAlignment="1">
      <alignment horizontal="right"/>
    </xf>
    <xf numFmtId="0" fontId="3" fillId="0" borderId="9" xfId="0" applyFont="1" applyBorder="1" applyAlignment="1">
      <alignment horizontal="left"/>
    </xf>
    <xf numFmtId="164" fontId="14" fillId="0" borderId="9" xfId="0" applyNumberFormat="1" applyFont="1" applyBorder="1"/>
    <xf numFmtId="0" fontId="3" fillId="0" borderId="11" xfId="0" applyFont="1" applyBorder="1"/>
    <xf numFmtId="164" fontId="3" fillId="0" borderId="11" xfId="0" applyNumberFormat="1" applyFont="1" applyBorder="1"/>
    <xf numFmtId="0" fontId="7" fillId="0" borderId="11" xfId="0" applyFont="1" applyBorder="1"/>
    <xf numFmtId="164" fontId="14" fillId="2" borderId="11" xfId="0" applyNumberFormat="1" applyFont="1" applyFill="1" applyBorder="1"/>
    <xf numFmtId="0" fontId="3" fillId="0" borderId="19" xfId="0" applyFont="1" applyBorder="1"/>
    <xf numFmtId="164" fontId="3" fillId="0" borderId="19" xfId="0" applyNumberFormat="1" applyFont="1" applyBorder="1"/>
    <xf numFmtId="0" fontId="7" fillId="0" borderId="19" xfId="0" applyFont="1" applyBorder="1"/>
    <xf numFmtId="0" fontId="17" fillId="4" borderId="14" xfId="0" applyFont="1" applyFill="1" applyBorder="1"/>
    <xf numFmtId="164" fontId="17" fillId="4" borderId="22" xfId="0" applyNumberFormat="1" applyFont="1" applyFill="1" applyBorder="1"/>
    <xf numFmtId="164" fontId="17" fillId="4" borderId="23" xfId="0" applyNumberFormat="1" applyFont="1" applyFill="1" applyBorder="1"/>
    <xf numFmtId="166" fontId="18" fillId="4" borderId="22" xfId="0" applyNumberFormat="1" applyFont="1" applyFill="1" applyBorder="1" applyAlignment="1">
      <alignment horizontal="right"/>
    </xf>
    <xf numFmtId="0" fontId="3" fillId="0" borderId="9" xfId="0" applyFont="1" applyBorder="1"/>
    <xf numFmtId="164" fontId="3" fillId="6" borderId="9" xfId="0" applyNumberFormat="1" applyFont="1" applyFill="1" applyBorder="1"/>
    <xf numFmtId="164" fontId="3" fillId="6" borderId="11" xfId="0" applyNumberFormat="1" applyFont="1" applyFill="1" applyBorder="1"/>
    <xf numFmtId="0" fontId="3" fillId="0" borderId="11" xfId="0" applyFont="1" applyBorder="1"/>
    <xf numFmtId="0" fontId="3" fillId="0" borderId="19" xfId="0" applyFont="1" applyBorder="1"/>
    <xf numFmtId="164" fontId="3" fillId="0" borderId="22" xfId="0" applyNumberFormat="1" applyFont="1" applyBorder="1"/>
    <xf numFmtId="164" fontId="13" fillId="0" borderId="22" xfId="0" applyNumberFormat="1" applyFont="1" applyBorder="1"/>
    <xf numFmtId="164" fontId="3" fillId="2" borderId="22" xfId="0" applyNumberFormat="1" applyFont="1" applyFill="1" applyBorder="1"/>
    <xf numFmtId="164" fontId="0" fillId="2" borderId="22" xfId="0" applyNumberFormat="1" applyFont="1" applyFill="1" applyBorder="1"/>
    <xf numFmtId="164" fontId="0" fillId="0" borderId="23" xfId="0" applyNumberFormat="1" applyFont="1" applyBorder="1"/>
    <xf numFmtId="166" fontId="0" fillId="0" borderId="22" xfId="0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/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3" fillId="0" borderId="0" xfId="0" applyFont="1"/>
    <xf numFmtId="0" fontId="13" fillId="0" borderId="13" xfId="0" applyFont="1" applyBorder="1"/>
    <xf numFmtId="164" fontId="3" fillId="0" borderId="25" xfId="0" applyNumberFormat="1" applyFont="1" applyBorder="1"/>
    <xf numFmtId="0" fontId="13" fillId="0" borderId="18" xfId="0" applyFont="1" applyBorder="1"/>
    <xf numFmtId="164" fontId="3" fillId="0" borderId="26" xfId="0" applyNumberFormat="1" applyFont="1" applyBorder="1"/>
    <xf numFmtId="0" fontId="11" fillId="0" borderId="0" xfId="0" applyFont="1" applyAlignment="1">
      <alignment horizontal="right"/>
    </xf>
    <xf numFmtId="164" fontId="11" fillId="0" borderId="0" xfId="0" applyNumberFormat="1" applyFont="1"/>
    <xf numFmtId="0" fontId="3" fillId="8" borderId="4" xfId="0" applyFont="1" applyFill="1" applyBorder="1"/>
    <xf numFmtId="164" fontId="3" fillId="8" borderId="5" xfId="0" applyNumberFormat="1" applyFont="1" applyFill="1" applyBorder="1"/>
    <xf numFmtId="164" fontId="3" fillId="8" borderId="24" xfId="0" applyNumberFormat="1" applyFont="1" applyFill="1" applyBorder="1"/>
    <xf numFmtId="164" fontId="11" fillId="0" borderId="0" xfId="0" applyNumberFormat="1" applyFont="1"/>
    <xf numFmtId="0" fontId="13" fillId="0" borderId="0" xfId="0" applyFont="1" applyAlignment="1"/>
    <xf numFmtId="164" fontId="16" fillId="0" borderId="0" xfId="0" applyNumberFormat="1" applyFont="1"/>
    <xf numFmtId="0" fontId="16" fillId="0" borderId="0" xfId="0" applyFont="1"/>
    <xf numFmtId="49" fontId="16" fillId="0" borderId="0" xfId="0" applyNumberFormat="1" applyFont="1"/>
    <xf numFmtId="0" fontId="28" fillId="0" borderId="0" xfId="0" applyFont="1"/>
    <xf numFmtId="0" fontId="16" fillId="0" borderId="0" xfId="0" applyFont="1" applyAlignment="1">
      <alignment horizontal="left" indent="1"/>
    </xf>
    <xf numFmtId="0" fontId="13" fillId="0" borderId="0" xfId="0" applyFont="1"/>
    <xf numFmtId="4" fontId="12" fillId="0" borderId="0" xfId="0" applyNumberFormat="1" applyFont="1"/>
    <xf numFmtId="4" fontId="16" fillId="0" borderId="0" xfId="0" applyNumberFormat="1" applyFont="1"/>
    <xf numFmtId="0" fontId="0" fillId="0" borderId="1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15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 xr:uid="{00000000-0005-0000-0000-000006000000}"/>
    <cellStyle name="Normální 3" xfId="3" xr:uid="{00000000-0005-0000-0000-000007000000}"/>
  </cellStyles>
  <dxfs count="2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00B050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360</xdr:colOff>
      <xdr:row>0</xdr:row>
      <xdr:rowOff>0</xdr:rowOff>
    </xdr:from>
    <xdr:to>
      <xdr:col>2</xdr:col>
      <xdr:colOff>1219320</xdr:colOff>
      <xdr:row>1</xdr:row>
      <xdr:rowOff>323640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040" y="0"/>
          <a:ext cx="1218960" cy="68544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91"/>
  <sheetViews>
    <sheetView showGridLines="0" tabSelected="1" zoomScaleNormal="100" workbookViewId="0">
      <selection activeCell="B1" sqref="B1"/>
    </sheetView>
  </sheetViews>
  <sheetFormatPr defaultColWidth="16.140625" defaultRowHeight="15" zeroHeight="1" x14ac:dyDescent="0.25"/>
  <cols>
    <col min="1" max="1" width="1.5703125" style="1" customWidth="1"/>
    <col min="2" max="2" width="7.42578125" style="2" customWidth="1"/>
    <col min="3" max="3" width="78.28515625" style="1" customWidth="1"/>
    <col min="4" max="5" width="14" style="1" customWidth="1"/>
    <col min="6" max="6" width="15.42578125" style="1" customWidth="1"/>
    <col min="7" max="8" width="14" style="1" customWidth="1"/>
    <col min="9" max="9" width="13" style="3" customWidth="1"/>
    <col min="10" max="10" width="15.140625" style="1" customWidth="1"/>
    <col min="11" max="11" width="16.28515625" style="4" customWidth="1"/>
    <col min="12" max="12" width="10" style="5" customWidth="1"/>
    <col min="13" max="13" width="12.28515625" style="1" hidden="1" customWidth="1"/>
    <col min="14" max="14" width="10.42578125" style="1" hidden="1" customWidth="1"/>
    <col min="15" max="15" width="17.28515625" style="1" hidden="1" customWidth="1"/>
    <col min="16" max="16" width="10.7109375" style="1" hidden="1" customWidth="1"/>
    <col min="17" max="17" width="3.85546875" style="1" hidden="1" customWidth="1"/>
    <col min="18" max="19" width="11.5703125" style="1" hidden="1" customWidth="1"/>
    <col min="20" max="1024" width="16.140625" style="1" hidden="1"/>
  </cols>
  <sheetData>
    <row r="1" spans="2:13" ht="28.5" customHeight="1" x14ac:dyDescent="0.25">
      <c r="C1" s="258" t="s">
        <v>0</v>
      </c>
      <c r="D1" s="258"/>
      <c r="E1" s="258"/>
      <c r="F1" s="258"/>
      <c r="G1" s="258"/>
      <c r="H1" s="258"/>
      <c r="I1" s="6"/>
      <c r="J1" s="7"/>
      <c r="L1" s="8">
        <v>44496</v>
      </c>
    </row>
    <row r="2" spans="2:13" s="9" customFormat="1" ht="28.5" x14ac:dyDescent="0.45">
      <c r="B2" s="10"/>
      <c r="C2" s="258"/>
      <c r="D2" s="258"/>
      <c r="E2" s="258"/>
      <c r="F2" s="258"/>
      <c r="G2" s="258"/>
      <c r="H2" s="258"/>
      <c r="I2" s="11"/>
      <c r="K2" s="12"/>
      <c r="L2" s="13"/>
    </row>
    <row r="3" spans="2:13" ht="15" customHeight="1" x14ac:dyDescent="0.25">
      <c r="C3" s="259" t="s">
        <v>1</v>
      </c>
      <c r="D3" s="259"/>
      <c r="E3" s="259"/>
      <c r="F3" s="259"/>
      <c r="G3" s="259"/>
      <c r="H3" s="259"/>
      <c r="I3" s="259"/>
      <c r="J3" s="259"/>
      <c r="K3" s="259"/>
    </row>
    <row r="4" spans="2:13" ht="15.75" customHeight="1" x14ac:dyDescent="0.25">
      <c r="C4" s="259"/>
      <c r="D4" s="259"/>
      <c r="E4" s="259"/>
      <c r="F4" s="259"/>
      <c r="G4" s="259"/>
      <c r="H4" s="259"/>
      <c r="I4" s="259"/>
      <c r="J4" s="259"/>
      <c r="K4" s="259"/>
      <c r="M4" s="6"/>
    </row>
    <row r="5" spans="2:13" x14ac:dyDescent="0.25">
      <c r="C5" s="14"/>
      <c r="D5" s="14"/>
      <c r="E5" s="14"/>
      <c r="F5" s="14"/>
      <c r="G5" s="14"/>
      <c r="H5" s="14"/>
    </row>
    <row r="6" spans="2:13" ht="45" customHeight="1" x14ac:dyDescent="0.25">
      <c r="C6" s="15" t="s">
        <v>2</v>
      </c>
      <c r="D6" s="16" t="s">
        <v>3</v>
      </c>
      <c r="E6" s="16" t="s">
        <v>4</v>
      </c>
      <c r="F6" s="16" t="s">
        <v>5</v>
      </c>
      <c r="G6" s="16" t="s">
        <v>6</v>
      </c>
      <c r="H6" s="16" t="s">
        <v>7</v>
      </c>
      <c r="I6" s="17" t="s">
        <v>8</v>
      </c>
      <c r="J6" s="17" t="s">
        <v>9</v>
      </c>
      <c r="K6" s="17" t="s">
        <v>10</v>
      </c>
    </row>
    <row r="7" spans="2:13" x14ac:dyDescent="0.25">
      <c r="C7" s="18" t="s">
        <v>11</v>
      </c>
      <c r="D7" s="19">
        <f>SUM(806833+30000)</f>
        <v>836833</v>
      </c>
      <c r="E7" s="20">
        <v>827559.9</v>
      </c>
      <c r="F7" s="20">
        <v>426584.3</v>
      </c>
      <c r="G7" s="20">
        <v>849403.6</v>
      </c>
      <c r="H7" s="20">
        <f t="shared" ref="H7:H16" si="0">SUM(G7-D7)</f>
        <v>12570.599999999977</v>
      </c>
      <c r="I7" s="19">
        <v>857503</v>
      </c>
      <c r="J7" s="20">
        <f t="shared" ref="J7:J15" si="1">I7-G7</f>
        <v>8099.4000000000233</v>
      </c>
      <c r="K7" s="21">
        <f t="shared" ref="K7:K12" si="2">I7/E7</f>
        <v>1.0361823959812455</v>
      </c>
    </row>
    <row r="8" spans="2:13" x14ac:dyDescent="0.25">
      <c r="C8" s="22" t="s">
        <v>12</v>
      </c>
      <c r="D8" s="19">
        <v>93483.1</v>
      </c>
      <c r="E8" s="20">
        <v>111565.2</v>
      </c>
      <c r="F8" s="20">
        <v>66334.8</v>
      </c>
      <c r="G8" s="20">
        <v>92315</v>
      </c>
      <c r="H8" s="20">
        <f t="shared" si="0"/>
        <v>-1168.1000000000058</v>
      </c>
      <c r="I8" s="20">
        <v>93147.6</v>
      </c>
      <c r="J8" s="20">
        <f t="shared" si="1"/>
        <v>832.60000000000582</v>
      </c>
      <c r="K8" s="21">
        <f t="shared" si="2"/>
        <v>0.83491626421142084</v>
      </c>
    </row>
    <row r="9" spans="2:13" x14ac:dyDescent="0.25">
      <c r="C9" s="22" t="s">
        <v>13</v>
      </c>
      <c r="D9" s="19">
        <v>19982.5</v>
      </c>
      <c r="E9" s="20">
        <v>14604.1</v>
      </c>
      <c r="F9" s="20">
        <v>0</v>
      </c>
      <c r="G9" s="23">
        <v>75520</v>
      </c>
      <c r="H9" s="20">
        <f t="shared" si="0"/>
        <v>55537.5</v>
      </c>
      <c r="I9" s="20">
        <v>68720</v>
      </c>
      <c r="J9" s="20">
        <f t="shared" si="1"/>
        <v>-6800</v>
      </c>
      <c r="K9" s="21">
        <f t="shared" si="2"/>
        <v>4.7055278996993994</v>
      </c>
      <c r="L9" s="24"/>
    </row>
    <row r="10" spans="2:13" x14ac:dyDescent="0.25">
      <c r="C10" s="18" t="s">
        <v>14</v>
      </c>
      <c r="D10" s="19">
        <v>5000</v>
      </c>
      <c r="E10" s="20">
        <v>7428</v>
      </c>
      <c r="F10" s="20">
        <v>5829.3</v>
      </c>
      <c r="G10" s="20">
        <v>11800</v>
      </c>
      <c r="H10" s="20">
        <f t="shared" si="0"/>
        <v>6800</v>
      </c>
      <c r="I10" s="20">
        <v>11800</v>
      </c>
      <c r="J10" s="20">
        <f t="shared" si="1"/>
        <v>0</v>
      </c>
      <c r="K10" s="21">
        <f t="shared" si="2"/>
        <v>1.5885837372105547</v>
      </c>
    </row>
    <row r="11" spans="2:13" x14ac:dyDescent="0.25">
      <c r="C11" s="18" t="s">
        <v>15</v>
      </c>
      <c r="D11" s="19">
        <f>SUM(94553+30)</f>
        <v>94583</v>
      </c>
      <c r="E11" s="20">
        <v>172260.2</v>
      </c>
      <c r="F11" s="20">
        <v>109117.4</v>
      </c>
      <c r="G11" s="20">
        <v>85142.3</v>
      </c>
      <c r="H11" s="20">
        <f t="shared" si="0"/>
        <v>-9440.6999999999971</v>
      </c>
      <c r="I11" s="20">
        <v>85142.3</v>
      </c>
      <c r="J11" s="20">
        <f t="shared" si="1"/>
        <v>0</v>
      </c>
      <c r="K11" s="21">
        <f t="shared" si="2"/>
        <v>0.494265651613083</v>
      </c>
    </row>
    <row r="12" spans="2:13" x14ac:dyDescent="0.25">
      <c r="C12" s="25" t="s">
        <v>16</v>
      </c>
      <c r="D12" s="26">
        <f>SUM(D7:D11)</f>
        <v>1049881.6000000001</v>
      </c>
      <c r="E12" s="26">
        <f>SUM(E7:E11)</f>
        <v>1133417.3999999999</v>
      </c>
      <c r="F12" s="26">
        <f>SUM(F7:F11)</f>
        <v>607865.79999999993</v>
      </c>
      <c r="G12" s="26">
        <f>SUM(G7:G11)</f>
        <v>1114180.8999999999</v>
      </c>
      <c r="H12" s="26">
        <f t="shared" si="0"/>
        <v>64299.299999999814</v>
      </c>
      <c r="I12" s="26">
        <f>SUM(I7:I11)</f>
        <v>1116312.8999999999</v>
      </c>
      <c r="J12" s="26">
        <f t="shared" si="1"/>
        <v>2132</v>
      </c>
      <c r="K12" s="27">
        <f t="shared" si="2"/>
        <v>0.98490891352117937</v>
      </c>
    </row>
    <row r="13" spans="2:13" x14ac:dyDescent="0.25">
      <c r="C13" s="28" t="s">
        <v>17</v>
      </c>
      <c r="D13" s="29">
        <v>0</v>
      </c>
      <c r="E13" s="29">
        <v>0</v>
      </c>
      <c r="F13" s="30">
        <v>0</v>
      </c>
      <c r="G13" s="31"/>
      <c r="H13" s="29">
        <f t="shared" si="0"/>
        <v>0</v>
      </c>
      <c r="I13" s="29">
        <v>0</v>
      </c>
      <c r="J13" s="29">
        <f t="shared" si="1"/>
        <v>0</v>
      </c>
      <c r="K13" s="32" t="s">
        <v>18</v>
      </c>
    </row>
    <row r="14" spans="2:13" x14ac:dyDescent="0.25">
      <c r="C14" s="28" t="s">
        <v>19</v>
      </c>
      <c r="D14" s="29">
        <v>146273.20000000001</v>
      </c>
      <c r="E14" s="29">
        <v>0</v>
      </c>
      <c r="F14" s="30">
        <v>0</v>
      </c>
      <c r="G14" s="31"/>
      <c r="H14" s="29">
        <f t="shared" si="0"/>
        <v>-146273.20000000001</v>
      </c>
      <c r="I14" s="33">
        <v>236547.7</v>
      </c>
      <c r="J14" s="29">
        <f t="shared" si="1"/>
        <v>236547.7</v>
      </c>
      <c r="K14" s="32" t="s">
        <v>18</v>
      </c>
    </row>
    <row r="15" spans="2:13" x14ac:dyDescent="0.25">
      <c r="C15" s="28" t="s">
        <v>20</v>
      </c>
      <c r="D15" s="29">
        <v>200000</v>
      </c>
      <c r="E15" s="29">
        <v>200000</v>
      </c>
      <c r="F15" s="30">
        <v>0</v>
      </c>
      <c r="G15" s="34">
        <v>0</v>
      </c>
      <c r="H15" s="35">
        <f t="shared" si="0"/>
        <v>-200000</v>
      </c>
      <c r="I15" s="34">
        <v>0</v>
      </c>
      <c r="J15" s="29">
        <f t="shared" si="1"/>
        <v>0</v>
      </c>
      <c r="K15" s="32" t="s">
        <v>18</v>
      </c>
    </row>
    <row r="16" spans="2:13" ht="15.75" x14ac:dyDescent="0.25">
      <c r="C16" s="36" t="s">
        <v>21</v>
      </c>
      <c r="D16" s="37">
        <f>SUM(D12:D15)</f>
        <v>1396154.8</v>
      </c>
      <c r="E16" s="37">
        <f>SUM(E12:E15)</f>
        <v>1333417.3999999999</v>
      </c>
      <c r="F16" s="37">
        <f>SUM(F12:F15)</f>
        <v>607865.79999999993</v>
      </c>
      <c r="G16" s="37">
        <f>SUM(G12:G15)</f>
        <v>1114180.8999999999</v>
      </c>
      <c r="H16" s="37">
        <f t="shared" si="0"/>
        <v>-281973.90000000014</v>
      </c>
      <c r="I16" s="37">
        <f>SUM(I12:I15)</f>
        <v>1352860.5999999999</v>
      </c>
      <c r="J16" s="37">
        <f>SUM(I16-G16)</f>
        <v>238679.69999999995</v>
      </c>
      <c r="K16" s="38">
        <f>I16/E16</f>
        <v>1.0145814806376459</v>
      </c>
    </row>
    <row r="17" spans="2:16" x14ac:dyDescent="0.25">
      <c r="C17" s="39"/>
      <c r="D17" s="40"/>
      <c r="E17" s="40"/>
      <c r="F17" s="40"/>
      <c r="G17" s="40"/>
      <c r="H17" s="40"/>
    </row>
    <row r="18" spans="2:16" x14ac:dyDescent="0.25">
      <c r="C18" s="41"/>
      <c r="D18" s="42" t="s">
        <v>22</v>
      </c>
      <c r="E18" s="40">
        <v>0</v>
      </c>
      <c r="F18" s="40" t="s">
        <v>23</v>
      </c>
      <c r="G18" s="40"/>
      <c r="H18" s="40"/>
      <c r="I18" s="40" t="s">
        <v>24</v>
      </c>
      <c r="J18" s="40"/>
    </row>
    <row r="19" spans="2:16" x14ac:dyDescent="0.25">
      <c r="C19" s="41"/>
      <c r="D19" s="43"/>
      <c r="E19" s="44"/>
      <c r="F19" s="40"/>
      <c r="G19" s="45"/>
      <c r="H19" s="40"/>
      <c r="I19" s="40"/>
      <c r="J19" s="40"/>
    </row>
    <row r="20" spans="2:16" x14ac:dyDescent="0.25">
      <c r="C20" s="41"/>
      <c r="D20" s="43"/>
      <c r="E20" s="44">
        <v>217498.7</v>
      </c>
      <c r="F20" s="40" t="s">
        <v>25</v>
      </c>
      <c r="G20" s="45"/>
      <c r="I20" s="40" t="s">
        <v>26</v>
      </c>
      <c r="J20" s="40"/>
    </row>
    <row r="21" spans="2:16" x14ac:dyDescent="0.25">
      <c r="C21" s="41"/>
      <c r="D21" s="43"/>
      <c r="E21" s="44">
        <v>200000</v>
      </c>
      <c r="F21" s="40" t="s">
        <v>27</v>
      </c>
      <c r="G21" s="45"/>
      <c r="I21" s="40"/>
      <c r="J21" s="40"/>
    </row>
    <row r="22" spans="2:16" x14ac:dyDescent="0.25">
      <c r="C22" s="41"/>
      <c r="D22" s="43"/>
      <c r="I22" s="1"/>
      <c r="J22" s="40"/>
    </row>
    <row r="23" spans="2:16" x14ac:dyDescent="0.25">
      <c r="C23" s="41"/>
      <c r="D23" s="43"/>
      <c r="E23" s="44"/>
      <c r="F23" s="40"/>
      <c r="G23" s="45"/>
      <c r="I23" s="40"/>
      <c r="J23" s="40"/>
    </row>
    <row r="24" spans="2:16" x14ac:dyDescent="0.25">
      <c r="C24" s="41"/>
      <c r="D24" s="43"/>
      <c r="E24" s="46"/>
      <c r="F24" s="47"/>
      <c r="G24" s="40"/>
      <c r="H24" s="40"/>
    </row>
    <row r="25" spans="2:16" ht="15" customHeight="1" x14ac:dyDescent="0.25">
      <c r="C25" s="259" t="s">
        <v>28</v>
      </c>
      <c r="D25" s="259"/>
      <c r="E25" s="259"/>
      <c r="F25" s="259"/>
      <c r="G25" s="259"/>
      <c r="H25" s="259"/>
      <c r="I25" s="259"/>
      <c r="J25" s="259"/>
      <c r="K25" s="259"/>
    </row>
    <row r="26" spans="2:16" ht="15.75" customHeight="1" x14ac:dyDescent="0.25">
      <c r="C26" s="259"/>
      <c r="D26" s="259"/>
      <c r="E26" s="259"/>
      <c r="F26" s="259"/>
      <c r="G26" s="259"/>
      <c r="H26" s="259"/>
      <c r="I26" s="259"/>
      <c r="J26" s="259"/>
      <c r="K26" s="259"/>
    </row>
    <row r="27" spans="2:16" x14ac:dyDescent="0.25">
      <c r="C27" s="41"/>
      <c r="D27" s="43"/>
      <c r="E27" s="46"/>
      <c r="F27" s="47"/>
      <c r="G27" s="40"/>
      <c r="H27" s="40"/>
      <c r="N27" s="48"/>
      <c r="O27" s="48"/>
      <c r="P27" s="48"/>
    </row>
    <row r="28" spans="2:16" s="48" customFormat="1" ht="45" x14ac:dyDescent="0.25">
      <c r="B28" s="49"/>
      <c r="C28" s="15" t="s">
        <v>29</v>
      </c>
      <c r="D28" s="16" t="s">
        <v>3</v>
      </c>
      <c r="E28" s="16" t="s">
        <v>4</v>
      </c>
      <c r="F28" s="16" t="s">
        <v>5</v>
      </c>
      <c r="G28" s="16" t="s">
        <v>6</v>
      </c>
      <c r="H28" s="16" t="s">
        <v>7</v>
      </c>
      <c r="I28" s="17" t="s">
        <v>8</v>
      </c>
      <c r="J28" s="17" t="s">
        <v>9</v>
      </c>
      <c r="K28" s="17" t="s">
        <v>10</v>
      </c>
      <c r="L28" s="50"/>
      <c r="N28" s="1"/>
      <c r="O28" s="1"/>
      <c r="P28" s="1"/>
    </row>
    <row r="29" spans="2:16" x14ac:dyDescent="0.25">
      <c r="C29" s="51" t="s">
        <v>30</v>
      </c>
      <c r="D29" s="52">
        <f>SUM(960892.8+400-12000)</f>
        <v>949292.8</v>
      </c>
      <c r="E29" s="53">
        <v>1141785.5</v>
      </c>
      <c r="F29" s="52">
        <v>487092.3</v>
      </c>
      <c r="G29" s="54">
        <v>956353.1</v>
      </c>
      <c r="H29" s="52">
        <f t="shared" ref="H29:H41" si="3">G29-D29</f>
        <v>7060.2999999999302</v>
      </c>
      <c r="I29" s="55">
        <v>1000089.8</v>
      </c>
      <c r="J29" s="56">
        <f t="shared" ref="J29:J41" si="4">I29-G29</f>
        <v>43736.70000000007</v>
      </c>
      <c r="K29" s="57">
        <f>I29/E29</f>
        <v>0.87589989538315216</v>
      </c>
    </row>
    <row r="30" spans="2:16" x14ac:dyDescent="0.25">
      <c r="C30" s="58" t="s">
        <v>31</v>
      </c>
      <c r="D30" s="59">
        <f>SUM(D31:D40)</f>
        <v>197692</v>
      </c>
      <c r="E30" s="59">
        <f>SUM(E31:E40)</f>
        <v>171784.9</v>
      </c>
      <c r="F30" s="60">
        <f>SUM(F31:F40)</f>
        <v>19398.099999999999</v>
      </c>
      <c r="G30" s="59">
        <f>SUM(G31:G40)</f>
        <v>387980</v>
      </c>
      <c r="H30" s="52">
        <f t="shared" si="3"/>
        <v>190288</v>
      </c>
      <c r="I30" s="61">
        <f>SUM(I31:I40)</f>
        <v>303600.8</v>
      </c>
      <c r="J30" s="56">
        <f t="shared" si="4"/>
        <v>-84379.200000000012</v>
      </c>
      <c r="K30" s="57">
        <f>I30/E30</f>
        <v>1.7673311216527181</v>
      </c>
    </row>
    <row r="31" spans="2:16" x14ac:dyDescent="0.25">
      <c r="C31" s="62" t="s">
        <v>32</v>
      </c>
      <c r="D31" s="63">
        <v>11500</v>
      </c>
      <c r="E31" s="64">
        <v>14220</v>
      </c>
      <c r="F31" s="64">
        <v>2204.1</v>
      </c>
      <c r="G31" s="63">
        <v>9300</v>
      </c>
      <c r="H31" s="65">
        <f t="shared" si="3"/>
        <v>-2200</v>
      </c>
      <c r="I31" s="63">
        <v>9700</v>
      </c>
      <c r="J31" s="66">
        <f t="shared" si="4"/>
        <v>400</v>
      </c>
      <c r="K31" s="67">
        <f>I31/E31</f>
        <v>0.68213783403656825</v>
      </c>
    </row>
    <row r="32" spans="2:16" x14ac:dyDescent="0.25">
      <c r="C32" s="68" t="s">
        <v>33</v>
      </c>
      <c r="D32" s="69">
        <v>181188</v>
      </c>
      <c r="E32" s="70">
        <v>149535</v>
      </c>
      <c r="F32" s="70">
        <v>14336.5</v>
      </c>
      <c r="G32" s="69">
        <v>361750</v>
      </c>
      <c r="H32" s="71">
        <f t="shared" si="3"/>
        <v>180562</v>
      </c>
      <c r="I32" s="72">
        <v>272000</v>
      </c>
      <c r="J32" s="73">
        <f t="shared" si="4"/>
        <v>-89750</v>
      </c>
      <c r="K32" s="74">
        <f>I32/E32</f>
        <v>1.8189721469889992</v>
      </c>
      <c r="L32" s="75"/>
    </row>
    <row r="33" spans="2:18" x14ac:dyDescent="0.25">
      <c r="C33" s="68" t="s">
        <v>34</v>
      </c>
      <c r="D33" s="69">
        <v>200</v>
      </c>
      <c r="E33" s="70">
        <v>200</v>
      </c>
      <c r="F33" s="70">
        <v>0</v>
      </c>
      <c r="G33" s="69">
        <v>0</v>
      </c>
      <c r="H33" s="71">
        <f t="shared" si="3"/>
        <v>-200</v>
      </c>
      <c r="I33" s="69">
        <v>0</v>
      </c>
      <c r="J33" s="73">
        <f t="shared" si="4"/>
        <v>0</v>
      </c>
      <c r="K33" s="74">
        <f>I33/E33</f>
        <v>0</v>
      </c>
    </row>
    <row r="34" spans="2:18" x14ac:dyDescent="0.25">
      <c r="C34" s="68" t="s">
        <v>35</v>
      </c>
      <c r="D34" s="69">
        <v>1554</v>
      </c>
      <c r="E34" s="70">
        <v>1554</v>
      </c>
      <c r="F34" s="70">
        <v>606.79999999999995</v>
      </c>
      <c r="G34" s="69">
        <v>1000</v>
      </c>
      <c r="H34" s="71">
        <f t="shared" si="3"/>
        <v>-554</v>
      </c>
      <c r="I34" s="69">
        <v>980</v>
      </c>
      <c r="J34" s="73">
        <f t="shared" si="4"/>
        <v>-20</v>
      </c>
      <c r="K34" s="76" t="s">
        <v>18</v>
      </c>
    </row>
    <row r="35" spans="2:18" x14ac:dyDescent="0.25">
      <c r="C35" s="68" t="s">
        <v>36</v>
      </c>
      <c r="D35" s="69">
        <v>1450</v>
      </c>
      <c r="E35" s="70">
        <v>1650</v>
      </c>
      <c r="F35" s="70">
        <v>450.7</v>
      </c>
      <c r="G35" s="69">
        <v>1880</v>
      </c>
      <c r="H35" s="71">
        <f t="shared" si="3"/>
        <v>430</v>
      </c>
      <c r="I35" s="69">
        <v>1880</v>
      </c>
      <c r="J35" s="73">
        <f t="shared" si="4"/>
        <v>0</v>
      </c>
      <c r="K35" s="74">
        <f>I35/E35</f>
        <v>1.1393939393939394</v>
      </c>
    </row>
    <row r="36" spans="2:18" x14ac:dyDescent="0.25">
      <c r="C36" s="68" t="s">
        <v>37</v>
      </c>
      <c r="D36" s="69">
        <v>1800</v>
      </c>
      <c r="E36" s="70">
        <v>1800</v>
      </c>
      <c r="F36" s="70">
        <v>0</v>
      </c>
      <c r="G36" s="69">
        <v>4050</v>
      </c>
      <c r="H36" s="71">
        <f t="shared" si="3"/>
        <v>2250</v>
      </c>
      <c r="I36" s="77">
        <v>4050</v>
      </c>
      <c r="J36" s="73">
        <f t="shared" si="4"/>
        <v>0</v>
      </c>
      <c r="K36" s="74">
        <f>I36/E36</f>
        <v>2.25</v>
      </c>
    </row>
    <row r="37" spans="2:18" x14ac:dyDescent="0.25">
      <c r="C37" s="68" t="s">
        <v>38</v>
      </c>
      <c r="D37" s="69">
        <v>0</v>
      </c>
      <c r="E37" s="70">
        <v>95</v>
      </c>
      <c r="F37" s="70">
        <v>0</v>
      </c>
      <c r="G37" s="69">
        <v>0</v>
      </c>
      <c r="H37" s="71">
        <f t="shared" si="3"/>
        <v>0</v>
      </c>
      <c r="I37" s="77">
        <v>1000</v>
      </c>
      <c r="J37" s="73">
        <f t="shared" si="4"/>
        <v>1000</v>
      </c>
      <c r="K37" s="76" t="s">
        <v>18</v>
      </c>
    </row>
    <row r="38" spans="2:18" x14ac:dyDescent="0.25">
      <c r="C38" s="68" t="s">
        <v>39</v>
      </c>
      <c r="D38" s="69">
        <v>0</v>
      </c>
      <c r="E38" s="70">
        <v>2730.9</v>
      </c>
      <c r="F38" s="70">
        <v>1800</v>
      </c>
      <c r="G38" s="69">
        <v>5000</v>
      </c>
      <c r="H38" s="71">
        <f t="shared" si="3"/>
        <v>5000</v>
      </c>
      <c r="I38" s="69">
        <v>5000</v>
      </c>
      <c r="J38" s="73">
        <f t="shared" si="4"/>
        <v>0</v>
      </c>
      <c r="K38" s="74">
        <f>I38/E38</f>
        <v>1.8308982386758943</v>
      </c>
    </row>
    <row r="39" spans="2:18" x14ac:dyDescent="0.25">
      <c r="C39" s="68" t="s">
        <v>40</v>
      </c>
      <c r="D39" s="69">
        <v>0</v>
      </c>
      <c r="E39" s="70">
        <v>0</v>
      </c>
      <c r="F39" s="70">
        <v>0</v>
      </c>
      <c r="G39" s="69">
        <v>5000</v>
      </c>
      <c r="H39" s="71">
        <f t="shared" si="3"/>
        <v>5000</v>
      </c>
      <c r="I39" s="69">
        <v>8990.7999999999993</v>
      </c>
      <c r="J39" s="73">
        <f t="shared" si="4"/>
        <v>3990.7999999999993</v>
      </c>
      <c r="K39" s="74">
        <v>0</v>
      </c>
    </row>
    <row r="40" spans="2:18" x14ac:dyDescent="0.25">
      <c r="C40" s="68" t="s">
        <v>41</v>
      </c>
      <c r="D40" s="69">
        <v>0</v>
      </c>
      <c r="E40" s="70">
        <v>0</v>
      </c>
      <c r="F40" s="70">
        <v>0</v>
      </c>
      <c r="G40" s="69">
        <v>0</v>
      </c>
      <c r="H40" s="71">
        <f t="shared" si="3"/>
        <v>0</v>
      </c>
      <c r="I40" s="69">
        <v>0</v>
      </c>
      <c r="J40" s="73">
        <f t="shared" si="4"/>
        <v>0</v>
      </c>
      <c r="K40" s="76" t="s">
        <v>18</v>
      </c>
    </row>
    <row r="41" spans="2:18" x14ac:dyDescent="0.25">
      <c r="C41" s="78" t="s">
        <v>42</v>
      </c>
      <c r="D41" s="79">
        <f>D29+D30</f>
        <v>1146984.8</v>
      </c>
      <c r="E41" s="79">
        <f>E29+E30</f>
        <v>1313570.3999999999</v>
      </c>
      <c r="F41" s="79">
        <f>F29+F30</f>
        <v>506490.39999999997</v>
      </c>
      <c r="G41" s="79">
        <f>G29+G30</f>
        <v>1344333.1</v>
      </c>
      <c r="H41" s="80">
        <f t="shared" si="3"/>
        <v>197348.30000000005</v>
      </c>
      <c r="I41" s="79">
        <f>I29+I30</f>
        <v>1303690.6000000001</v>
      </c>
      <c r="J41" s="81">
        <f t="shared" si="4"/>
        <v>-40642.5</v>
      </c>
      <c r="K41" s="27">
        <f>I41/E41</f>
        <v>0.99247866730249112</v>
      </c>
      <c r="N41" s="82"/>
      <c r="O41" s="82"/>
      <c r="P41" s="82"/>
    </row>
    <row r="42" spans="2:18" s="48" customFormat="1" x14ac:dyDescent="0.25">
      <c r="B42" s="49"/>
      <c r="C42" s="83"/>
      <c r="D42" s="84"/>
      <c r="E42" s="85"/>
      <c r="F42" s="86"/>
      <c r="G42" s="84"/>
      <c r="H42" s="86"/>
      <c r="I42" s="87"/>
      <c r="K42" s="4"/>
      <c r="L42" s="50"/>
      <c r="N42" s="82"/>
      <c r="O42" s="82"/>
      <c r="P42" s="82"/>
    </row>
    <row r="43" spans="2:18" s="82" customFormat="1" x14ac:dyDescent="0.25">
      <c r="B43" s="88"/>
      <c r="C43" s="83"/>
      <c r="D43" s="84"/>
      <c r="E43" s="85"/>
      <c r="F43" s="86"/>
      <c r="G43" s="84"/>
      <c r="H43" s="86"/>
      <c r="I43" s="89"/>
      <c r="K43" s="90"/>
      <c r="L43" s="91"/>
      <c r="N43" s="92"/>
      <c r="O43" s="92"/>
      <c r="P43" s="92"/>
    </row>
    <row r="44" spans="2:18" s="82" customFormat="1" ht="15" customHeight="1" x14ac:dyDescent="0.25">
      <c r="B44" s="88"/>
      <c r="C44" s="260" t="s">
        <v>43</v>
      </c>
      <c r="D44" s="260"/>
      <c r="E44" s="260"/>
      <c r="F44" s="260"/>
      <c r="G44" s="260"/>
      <c r="H44" s="260"/>
      <c r="I44" s="260"/>
      <c r="J44" s="93"/>
      <c r="K44" s="94"/>
      <c r="L44" s="91"/>
      <c r="N44" s="92"/>
      <c r="O44" s="92"/>
      <c r="P44" s="92"/>
    </row>
    <row r="45" spans="2:18" s="92" customFormat="1" ht="15.75" customHeight="1" x14ac:dyDescent="0.25">
      <c r="B45" s="95"/>
      <c r="C45" s="260"/>
      <c r="D45" s="260"/>
      <c r="E45" s="260"/>
      <c r="F45" s="260"/>
      <c r="G45" s="260"/>
      <c r="H45" s="260"/>
      <c r="I45" s="260"/>
      <c r="K45" s="90"/>
      <c r="L45" s="96"/>
    </row>
    <row r="46" spans="2:18" s="92" customFormat="1" x14ac:dyDescent="0.25">
      <c r="B46" s="95"/>
      <c r="C46" s="83"/>
      <c r="D46" s="84"/>
      <c r="E46" s="85"/>
      <c r="F46" s="86"/>
      <c r="G46" s="84"/>
      <c r="H46" s="86"/>
      <c r="I46" s="97"/>
      <c r="K46" s="94"/>
      <c r="L46" s="96"/>
    </row>
    <row r="47" spans="2:18" ht="30.75" customHeight="1" x14ac:dyDescent="0.25">
      <c r="C47" s="98" t="s">
        <v>44</v>
      </c>
      <c r="D47" s="99" t="s">
        <v>45</v>
      </c>
      <c r="E47" s="100" t="s">
        <v>46</v>
      </c>
      <c r="F47" s="100" t="s">
        <v>47</v>
      </c>
      <c r="G47" s="101" t="s">
        <v>48</v>
      </c>
      <c r="H47" s="101" t="s">
        <v>49</v>
      </c>
      <c r="I47" s="101" t="s">
        <v>50</v>
      </c>
      <c r="L47" s="102" t="s">
        <v>51</v>
      </c>
      <c r="M47" s="103" t="s">
        <v>52</v>
      </c>
      <c r="N47" s="104" t="s">
        <v>53</v>
      </c>
      <c r="O47" s="105" t="s">
        <v>54</v>
      </c>
      <c r="P47" s="104" t="s">
        <v>55</v>
      </c>
      <c r="Q47" s="106"/>
      <c r="R47" s="106"/>
    </row>
    <row r="48" spans="2:18" x14ac:dyDescent="0.25">
      <c r="C48" s="107" t="s">
        <v>56</v>
      </c>
      <c r="D48" s="108">
        <f>G7+G8+G9+G11</f>
        <v>1102380.8999999999</v>
      </c>
      <c r="E48" s="109">
        <f>G29</f>
        <v>956353.1</v>
      </c>
      <c r="F48" s="71">
        <f>D48-E48</f>
        <v>146027.79999999993</v>
      </c>
      <c r="G48" s="110">
        <f>I7+I8+I9+I11</f>
        <v>1104512.8999999999</v>
      </c>
      <c r="H48" s="110">
        <v>1000089.8</v>
      </c>
      <c r="I48" s="111">
        <f>G48-H48</f>
        <v>104423.09999999986</v>
      </c>
      <c r="K48" s="112"/>
      <c r="L48" s="113"/>
      <c r="M48" s="114">
        <f>197330-172730</f>
        <v>24600</v>
      </c>
      <c r="N48" s="114">
        <f>L48+M48</f>
        <v>24600</v>
      </c>
      <c r="O48" s="114">
        <v>12800</v>
      </c>
      <c r="P48" s="114">
        <f>N48+O48</f>
        <v>37400</v>
      </c>
      <c r="Q48" s="106"/>
      <c r="R48" s="106"/>
    </row>
    <row r="49" spans="2:16" x14ac:dyDescent="0.25">
      <c r="C49" s="115" t="s">
        <v>57</v>
      </c>
      <c r="D49" s="73">
        <f>G10</f>
        <v>11800</v>
      </c>
      <c r="E49" s="71">
        <f>G30</f>
        <v>387980</v>
      </c>
      <c r="F49" s="71">
        <f>D49-E49</f>
        <v>-376180</v>
      </c>
      <c r="G49" s="73">
        <f>I10</f>
        <v>11800</v>
      </c>
      <c r="H49" s="71">
        <f>I30</f>
        <v>303600.8</v>
      </c>
      <c r="I49" s="71">
        <f>G49-H49</f>
        <v>-291800.8</v>
      </c>
      <c r="J49" s="116"/>
      <c r="K49" s="94"/>
      <c r="N49" s="48"/>
      <c r="O49" s="48"/>
      <c r="P49" s="48"/>
    </row>
    <row r="50" spans="2:16" x14ac:dyDescent="0.25">
      <c r="C50" s="115" t="s">
        <v>58</v>
      </c>
      <c r="D50" s="73">
        <f>G13+G14</f>
        <v>0</v>
      </c>
      <c r="E50" s="71">
        <f>G114</f>
        <v>49170</v>
      </c>
      <c r="F50" s="71">
        <f>D50-E50</f>
        <v>-49170</v>
      </c>
      <c r="G50" s="73">
        <f>I13+I14</f>
        <v>236547.7</v>
      </c>
      <c r="H50" s="73">
        <f>I114</f>
        <v>49170</v>
      </c>
      <c r="I50" s="71">
        <f>G50-H50</f>
        <v>187377.7</v>
      </c>
      <c r="J50" s="116"/>
      <c r="K50" s="94"/>
      <c r="N50" s="48"/>
      <c r="O50" s="48"/>
      <c r="P50" s="48"/>
    </row>
    <row r="51" spans="2:16" x14ac:dyDescent="0.25">
      <c r="C51" s="117" t="s">
        <v>59</v>
      </c>
      <c r="D51" s="118">
        <f>G15</f>
        <v>0</v>
      </c>
      <c r="E51" s="110">
        <f>G113</f>
        <v>0</v>
      </c>
      <c r="F51" s="110">
        <f>D51-E51</f>
        <v>0</v>
      </c>
      <c r="G51" s="119">
        <v>0</v>
      </c>
      <c r="H51" s="119">
        <v>0</v>
      </c>
      <c r="I51" s="110">
        <v>0</v>
      </c>
      <c r="J51" s="116"/>
      <c r="K51" s="94"/>
      <c r="N51" s="48"/>
      <c r="O51" s="48"/>
      <c r="P51" s="48"/>
    </row>
    <row r="52" spans="2:16" x14ac:dyDescent="0.25">
      <c r="C52" s="120" t="s">
        <v>60</v>
      </c>
      <c r="D52" s="121">
        <f>SUM(D48:D50)</f>
        <v>1114180.8999999999</v>
      </c>
      <c r="E52" s="122">
        <f>SUM(E48:E50)</f>
        <v>1393503.1</v>
      </c>
      <c r="F52" s="122">
        <f>SUM(F48:F50)</f>
        <v>-279322.20000000007</v>
      </c>
      <c r="G52" s="121">
        <f>SUM(G48:G51)</f>
        <v>1352860.5999999999</v>
      </c>
      <c r="H52" s="121">
        <f>SUM(H48:H51)</f>
        <v>1352860.6</v>
      </c>
      <c r="I52" s="123">
        <f>SUM(I48:I50)</f>
        <v>0</v>
      </c>
      <c r="J52" s="116"/>
      <c r="K52" s="124"/>
      <c r="M52" s="125"/>
      <c r="N52" s="48"/>
      <c r="O52" s="48"/>
      <c r="P52" s="48"/>
    </row>
    <row r="53" spans="2:16" s="48" customFormat="1" x14ac:dyDescent="0.25">
      <c r="B53" s="49"/>
      <c r="C53" s="126"/>
      <c r="D53" s="127"/>
      <c r="E53" s="127"/>
      <c r="F53" s="128"/>
      <c r="G53" s="129"/>
      <c r="I53" s="130"/>
      <c r="K53" s="4"/>
      <c r="L53" s="96"/>
      <c r="N53" s="1"/>
      <c r="O53" s="1"/>
      <c r="P53" s="1"/>
    </row>
    <row r="54" spans="2:16" x14ac:dyDescent="0.25">
      <c r="C54" s="131"/>
      <c r="D54" s="127"/>
      <c r="E54" s="132"/>
      <c r="F54" s="128"/>
      <c r="G54" s="129"/>
      <c r="H54" s="48"/>
      <c r="I54" s="130"/>
    </row>
    <row r="55" spans="2:16" x14ac:dyDescent="0.25">
      <c r="C55" s="133"/>
      <c r="D55" s="134"/>
      <c r="E55" s="133"/>
      <c r="F55" s="133"/>
      <c r="G55" s="133"/>
    </row>
    <row r="56" spans="2:16" x14ac:dyDescent="0.25">
      <c r="C56" s="261" t="s">
        <v>61</v>
      </c>
      <c r="D56" s="261"/>
      <c r="E56" s="261"/>
      <c r="F56" s="261"/>
      <c r="G56" s="261"/>
      <c r="H56" s="261"/>
      <c r="I56" s="261"/>
      <c r="J56" s="261"/>
      <c r="K56" s="261"/>
    </row>
    <row r="57" spans="2:16" x14ac:dyDescent="0.25">
      <c r="C57" s="261"/>
      <c r="D57" s="261"/>
      <c r="E57" s="261"/>
      <c r="F57" s="261"/>
      <c r="G57" s="261"/>
      <c r="H57" s="261"/>
      <c r="I57" s="261"/>
      <c r="J57" s="261"/>
      <c r="K57" s="261"/>
    </row>
    <row r="58" spans="2:16" x14ac:dyDescent="0.25">
      <c r="C58" s="135"/>
      <c r="D58" s="134"/>
      <c r="E58" s="133"/>
      <c r="F58" s="133"/>
      <c r="G58" s="133"/>
      <c r="H58" s="133"/>
    </row>
    <row r="59" spans="2:16" ht="45" x14ac:dyDescent="0.25">
      <c r="C59" s="15" t="s">
        <v>62</v>
      </c>
      <c r="D59" s="16" t="s">
        <v>3</v>
      </c>
      <c r="E59" s="16" t="s">
        <v>4</v>
      </c>
      <c r="F59" s="16" t="s">
        <v>5</v>
      </c>
      <c r="G59" s="16" t="s">
        <v>6</v>
      </c>
      <c r="H59" s="16" t="s">
        <v>7</v>
      </c>
      <c r="I59" s="17" t="s">
        <v>8</v>
      </c>
      <c r="J59" s="17" t="s">
        <v>9</v>
      </c>
      <c r="K59" s="17" t="s">
        <v>10</v>
      </c>
    </row>
    <row r="60" spans="2:16" x14ac:dyDescent="0.25">
      <c r="B60" s="255" t="s">
        <v>63</v>
      </c>
      <c r="C60" s="137" t="s">
        <v>64</v>
      </c>
      <c r="D60" s="20">
        <v>64892</v>
      </c>
      <c r="E60" s="20">
        <v>84922.4</v>
      </c>
      <c r="F60" s="20">
        <v>58147.199999999997</v>
      </c>
      <c r="G60" s="20">
        <v>61892</v>
      </c>
      <c r="H60" s="20">
        <f t="shared" ref="H60:H77" si="5">SUM(G60-D60)</f>
        <v>-3000</v>
      </c>
      <c r="I60" s="19">
        <v>61942</v>
      </c>
      <c r="J60" s="20">
        <f>I60-G60</f>
        <v>50</v>
      </c>
      <c r="K60" s="138">
        <f>I60/E60</f>
        <v>0.72939530677418452</v>
      </c>
    </row>
    <row r="61" spans="2:16" x14ac:dyDescent="0.25">
      <c r="B61" s="255"/>
      <c r="C61" s="137" t="s">
        <v>65</v>
      </c>
      <c r="D61" s="20">
        <v>5000</v>
      </c>
      <c r="E61" s="20">
        <v>73221.600000000006</v>
      </c>
      <c r="F61" s="20">
        <v>0</v>
      </c>
      <c r="G61" s="20">
        <v>5000</v>
      </c>
      <c r="H61" s="20">
        <f t="shared" si="5"/>
        <v>0</v>
      </c>
      <c r="I61" s="23">
        <v>5200</v>
      </c>
      <c r="J61" s="20">
        <f>I61-G61</f>
        <v>200</v>
      </c>
      <c r="K61" s="138">
        <f>I61/E61</f>
        <v>7.1017295442874773E-2</v>
      </c>
    </row>
    <row r="62" spans="2:16" x14ac:dyDescent="0.25">
      <c r="B62" s="255"/>
      <c r="C62" s="137" t="s">
        <v>66</v>
      </c>
      <c r="D62" s="20">
        <v>0</v>
      </c>
      <c r="E62" s="20">
        <v>0</v>
      </c>
      <c r="F62" s="20">
        <v>0</v>
      </c>
      <c r="G62" s="20">
        <v>0</v>
      </c>
      <c r="H62" s="20">
        <f t="shared" si="5"/>
        <v>0</v>
      </c>
      <c r="I62" s="23">
        <v>1000</v>
      </c>
      <c r="J62" s="20">
        <f>SUM(I62-F62)</f>
        <v>1000</v>
      </c>
      <c r="K62" s="138" t="s">
        <v>18</v>
      </c>
    </row>
    <row r="63" spans="2:16" x14ac:dyDescent="0.25">
      <c r="B63" s="136" t="s">
        <v>63</v>
      </c>
      <c r="C63" s="137" t="s">
        <v>67</v>
      </c>
      <c r="D63" s="20">
        <v>46017</v>
      </c>
      <c r="E63" s="20">
        <v>48937</v>
      </c>
      <c r="F63" s="20">
        <v>17558.400000000001</v>
      </c>
      <c r="G63" s="20">
        <v>45082</v>
      </c>
      <c r="H63" s="20">
        <f t="shared" si="5"/>
        <v>-935</v>
      </c>
      <c r="I63" s="139">
        <f>46502+365</f>
        <v>46867</v>
      </c>
      <c r="J63" s="140">
        <f t="shared" ref="J63:J87" si="6">I63-G63</f>
        <v>1785</v>
      </c>
      <c r="K63" s="138">
        <f t="shared" ref="K63:K80" si="7">I63/E63</f>
        <v>0.95770071724870753</v>
      </c>
      <c r="L63" s="141"/>
    </row>
    <row r="64" spans="2:16" x14ac:dyDescent="0.25">
      <c r="B64" s="136" t="s">
        <v>68</v>
      </c>
      <c r="C64" s="137" t="s">
        <v>69</v>
      </c>
      <c r="D64" s="20">
        <v>213800</v>
      </c>
      <c r="E64" s="20">
        <v>191360</v>
      </c>
      <c r="F64" s="142">
        <v>18119.400000000001</v>
      </c>
      <c r="G64" s="20">
        <v>411200</v>
      </c>
      <c r="H64" s="20">
        <f t="shared" si="5"/>
        <v>197400</v>
      </c>
      <c r="I64" s="139">
        <f>331550-8800</f>
        <v>322750</v>
      </c>
      <c r="J64" s="143">
        <f t="shared" si="6"/>
        <v>-88450</v>
      </c>
      <c r="K64" s="138">
        <f t="shared" si="7"/>
        <v>1.6866116220735785</v>
      </c>
      <c r="L64" s="141"/>
    </row>
    <row r="65" spans="2:12" x14ac:dyDescent="0.25">
      <c r="B65" s="136" t="s">
        <v>70</v>
      </c>
      <c r="C65" s="137" t="s">
        <v>71</v>
      </c>
      <c r="D65" s="142">
        <v>2165.5</v>
      </c>
      <c r="E65" s="142">
        <v>17329</v>
      </c>
      <c r="F65" s="142">
        <v>2302.4</v>
      </c>
      <c r="G65" s="142">
        <v>2189.1</v>
      </c>
      <c r="H65" s="20">
        <f t="shared" si="5"/>
        <v>23.599999999999909</v>
      </c>
      <c r="I65" s="144">
        <v>2189.1</v>
      </c>
      <c r="J65" s="143">
        <f t="shared" si="6"/>
        <v>0</v>
      </c>
      <c r="K65" s="138">
        <f t="shared" si="7"/>
        <v>0.12632581222228634</v>
      </c>
    </row>
    <row r="66" spans="2:12" x14ac:dyDescent="0.25">
      <c r="B66" s="136" t="s">
        <v>63</v>
      </c>
      <c r="C66" s="22" t="s">
        <v>72</v>
      </c>
      <c r="D66" s="20">
        <v>3405</v>
      </c>
      <c r="E66" s="142">
        <v>3405</v>
      </c>
      <c r="F66" s="20">
        <v>1216.4000000000001</v>
      </c>
      <c r="G66" s="20">
        <v>2320</v>
      </c>
      <c r="H66" s="20">
        <f t="shared" si="5"/>
        <v>-1085</v>
      </c>
      <c r="I66" s="139">
        <v>2145</v>
      </c>
      <c r="J66" s="140">
        <f t="shared" si="6"/>
        <v>-175</v>
      </c>
      <c r="K66" s="138">
        <f t="shared" si="7"/>
        <v>0.62995594713656389</v>
      </c>
    </row>
    <row r="67" spans="2:12" x14ac:dyDescent="0.25">
      <c r="B67" s="136" t="s">
        <v>73</v>
      </c>
      <c r="C67" s="137" t="s">
        <v>74</v>
      </c>
      <c r="D67" s="20">
        <v>910</v>
      </c>
      <c r="E67" s="20">
        <v>1065.9000000000001</v>
      </c>
      <c r="F67" s="20">
        <v>310</v>
      </c>
      <c r="G67" s="20">
        <v>910</v>
      </c>
      <c r="H67" s="20">
        <f t="shared" si="5"/>
        <v>0</v>
      </c>
      <c r="I67" s="19">
        <v>910</v>
      </c>
      <c r="J67" s="140">
        <f t="shared" si="6"/>
        <v>0</v>
      </c>
      <c r="K67" s="138">
        <f t="shared" si="7"/>
        <v>0.85373862463645733</v>
      </c>
    </row>
    <row r="68" spans="2:12" x14ac:dyDescent="0.25">
      <c r="B68" s="145" t="s">
        <v>70</v>
      </c>
      <c r="C68" s="137" t="s">
        <v>75</v>
      </c>
      <c r="D68" s="20">
        <v>1868</v>
      </c>
      <c r="E68" s="20">
        <v>1738.4</v>
      </c>
      <c r="F68" s="20">
        <v>154.4</v>
      </c>
      <c r="G68" s="20">
        <v>3267.1</v>
      </c>
      <c r="H68" s="20">
        <f t="shared" si="5"/>
        <v>1399.1</v>
      </c>
      <c r="I68" s="20">
        <v>3287.1</v>
      </c>
      <c r="J68" s="140">
        <f t="shared" si="6"/>
        <v>20</v>
      </c>
      <c r="K68" s="138">
        <f t="shared" si="7"/>
        <v>1.8908766682006442</v>
      </c>
    </row>
    <row r="69" spans="2:12" x14ac:dyDescent="0.25">
      <c r="B69" s="136" t="s">
        <v>73</v>
      </c>
      <c r="C69" s="146" t="s">
        <v>76</v>
      </c>
      <c r="D69" s="142">
        <v>36701</v>
      </c>
      <c r="E69" s="142">
        <v>38735</v>
      </c>
      <c r="F69" s="142">
        <v>13321.8</v>
      </c>
      <c r="G69" s="142">
        <v>39684</v>
      </c>
      <c r="H69" s="142">
        <f t="shared" si="5"/>
        <v>2983</v>
      </c>
      <c r="I69" s="147">
        <f>37364+960</f>
        <v>38324</v>
      </c>
      <c r="J69" s="143">
        <f t="shared" si="6"/>
        <v>-1360</v>
      </c>
      <c r="K69" s="138">
        <f t="shared" si="7"/>
        <v>0.98938944107396409</v>
      </c>
    </row>
    <row r="70" spans="2:12" x14ac:dyDescent="0.25">
      <c r="B70" s="136" t="s">
        <v>68</v>
      </c>
      <c r="C70" s="146" t="s">
        <v>77</v>
      </c>
      <c r="D70" s="142">
        <v>18946</v>
      </c>
      <c r="E70" s="142">
        <v>20007</v>
      </c>
      <c r="F70" s="142">
        <v>7805</v>
      </c>
      <c r="G70" s="142">
        <v>19757</v>
      </c>
      <c r="H70" s="142">
        <f t="shared" si="5"/>
        <v>811</v>
      </c>
      <c r="I70" s="148">
        <v>19757</v>
      </c>
      <c r="J70" s="143">
        <f t="shared" si="6"/>
        <v>0</v>
      </c>
      <c r="K70" s="138">
        <f t="shared" si="7"/>
        <v>0.98750437346928577</v>
      </c>
      <c r="L70" s="149"/>
    </row>
    <row r="71" spans="2:12" x14ac:dyDescent="0.25">
      <c r="B71" s="136" t="s">
        <v>73</v>
      </c>
      <c r="C71" s="146" t="s">
        <v>78</v>
      </c>
      <c r="D71" s="142">
        <v>140</v>
      </c>
      <c r="E71" s="142">
        <v>140</v>
      </c>
      <c r="F71" s="142">
        <v>0</v>
      </c>
      <c r="G71" s="142">
        <v>140</v>
      </c>
      <c r="H71" s="142">
        <f t="shared" si="5"/>
        <v>0</v>
      </c>
      <c r="I71" s="144">
        <v>140</v>
      </c>
      <c r="J71" s="143">
        <f t="shared" si="6"/>
        <v>0</v>
      </c>
      <c r="K71" s="138">
        <f t="shared" si="7"/>
        <v>1</v>
      </c>
    </row>
    <row r="72" spans="2:12" x14ac:dyDescent="0.25">
      <c r="B72" s="136" t="s">
        <v>73</v>
      </c>
      <c r="C72" s="146" t="s">
        <v>79</v>
      </c>
      <c r="D72" s="142">
        <v>187979</v>
      </c>
      <c r="E72" s="142">
        <v>194493.3</v>
      </c>
      <c r="F72" s="142">
        <v>64161.9</v>
      </c>
      <c r="G72" s="142">
        <v>191614</v>
      </c>
      <c r="H72" s="142">
        <f t="shared" si="5"/>
        <v>3635</v>
      </c>
      <c r="I72" s="144">
        <v>195103</v>
      </c>
      <c r="J72" s="143">
        <f t="shared" si="6"/>
        <v>3489</v>
      </c>
      <c r="K72" s="138">
        <f t="shared" si="7"/>
        <v>1.003134812356004</v>
      </c>
    </row>
    <row r="73" spans="2:12" x14ac:dyDescent="0.25">
      <c r="B73" s="136" t="s">
        <v>68</v>
      </c>
      <c r="C73" s="146" t="s">
        <v>80</v>
      </c>
      <c r="D73" s="142">
        <v>12459</v>
      </c>
      <c r="E73" s="142">
        <v>12459</v>
      </c>
      <c r="F73" s="142">
        <v>1466.9</v>
      </c>
      <c r="G73" s="142">
        <v>12905</v>
      </c>
      <c r="H73" s="142">
        <f t="shared" si="5"/>
        <v>446</v>
      </c>
      <c r="I73" s="144">
        <v>12570</v>
      </c>
      <c r="J73" s="143">
        <f t="shared" si="6"/>
        <v>-335</v>
      </c>
      <c r="K73" s="138">
        <f t="shared" si="7"/>
        <v>1.0089092222489766</v>
      </c>
    </row>
    <row r="74" spans="2:12" x14ac:dyDescent="0.25">
      <c r="B74" s="136" t="s">
        <v>73</v>
      </c>
      <c r="C74" s="146" t="s">
        <v>81</v>
      </c>
      <c r="D74" s="142">
        <v>10</v>
      </c>
      <c r="E74" s="142">
        <v>10</v>
      </c>
      <c r="F74" s="142">
        <v>0.05</v>
      </c>
      <c r="G74" s="142">
        <v>10</v>
      </c>
      <c r="H74" s="142">
        <f t="shared" si="5"/>
        <v>0</v>
      </c>
      <c r="I74" s="144">
        <v>10</v>
      </c>
      <c r="J74" s="143">
        <f t="shared" si="6"/>
        <v>0</v>
      </c>
      <c r="K74" s="138">
        <f t="shared" si="7"/>
        <v>1</v>
      </c>
    </row>
    <row r="75" spans="2:12" x14ac:dyDescent="0.25">
      <c r="B75" s="136" t="s">
        <v>63</v>
      </c>
      <c r="C75" s="146" t="s">
        <v>82</v>
      </c>
      <c r="D75" s="142">
        <v>68953</v>
      </c>
      <c r="E75" s="142">
        <v>69853.8</v>
      </c>
      <c r="F75" s="142">
        <v>23589.5</v>
      </c>
      <c r="G75" s="142">
        <v>69750</v>
      </c>
      <c r="H75" s="142">
        <f t="shared" si="5"/>
        <v>797</v>
      </c>
      <c r="I75" s="147">
        <f>71750+10301</f>
        <v>82051</v>
      </c>
      <c r="J75" s="143">
        <f t="shared" si="6"/>
        <v>12301</v>
      </c>
      <c r="K75" s="138">
        <f t="shared" si="7"/>
        <v>1.174610400579496</v>
      </c>
    </row>
    <row r="76" spans="2:12" x14ac:dyDescent="0.25">
      <c r="B76" s="136" t="s">
        <v>63</v>
      </c>
      <c r="C76" s="146" t="s">
        <v>83</v>
      </c>
      <c r="D76" s="142">
        <v>839</v>
      </c>
      <c r="E76" s="142">
        <v>839</v>
      </c>
      <c r="F76" s="142">
        <v>367.1</v>
      </c>
      <c r="G76" s="142">
        <v>839</v>
      </c>
      <c r="H76" s="142">
        <f t="shared" si="5"/>
        <v>0</v>
      </c>
      <c r="I76" s="147">
        <f>839+10</f>
        <v>849</v>
      </c>
      <c r="J76" s="143">
        <f t="shared" si="6"/>
        <v>10</v>
      </c>
      <c r="K76" s="138">
        <f t="shared" si="7"/>
        <v>1.0119189511323003</v>
      </c>
    </row>
    <row r="77" spans="2:12" x14ac:dyDescent="0.25">
      <c r="B77" s="136" t="s">
        <v>63</v>
      </c>
      <c r="C77" s="137" t="s">
        <v>84</v>
      </c>
      <c r="D77" s="20">
        <v>11145</v>
      </c>
      <c r="E77" s="142">
        <v>11189</v>
      </c>
      <c r="F77" s="20">
        <v>4128.3999999999996</v>
      </c>
      <c r="G77" s="20">
        <v>10231</v>
      </c>
      <c r="H77" s="142">
        <f t="shared" si="5"/>
        <v>-914</v>
      </c>
      <c r="I77" s="139">
        <f>10500+63</f>
        <v>10563</v>
      </c>
      <c r="J77" s="140">
        <f t="shared" si="6"/>
        <v>332</v>
      </c>
      <c r="K77" s="138">
        <f t="shared" si="7"/>
        <v>0.94405219411922425</v>
      </c>
    </row>
    <row r="78" spans="2:12" x14ac:dyDescent="0.25">
      <c r="B78" s="136"/>
      <c r="C78" s="150" t="s">
        <v>85</v>
      </c>
      <c r="D78" s="151">
        <f>SUM(D79:D97)</f>
        <v>228287</v>
      </c>
      <c r="E78" s="20">
        <f>SUM(E79:E97)</f>
        <v>290354.09999999998</v>
      </c>
      <c r="F78" s="20">
        <f>SUM(F79:F97)</f>
        <v>168908.4</v>
      </c>
      <c r="G78" s="20">
        <f>SUM(G79:G97)</f>
        <v>240683</v>
      </c>
      <c r="H78" s="142">
        <f>G78-D78</f>
        <v>12396</v>
      </c>
      <c r="I78" s="20">
        <f>SUM(I79:I97)</f>
        <v>265948.79999999999</v>
      </c>
      <c r="J78" s="140">
        <f t="shared" si="6"/>
        <v>25265.799999999988</v>
      </c>
      <c r="K78" s="138">
        <f t="shared" si="7"/>
        <v>0.91594642541641402</v>
      </c>
    </row>
    <row r="79" spans="2:12" x14ac:dyDescent="0.25">
      <c r="B79" s="255" t="s">
        <v>68</v>
      </c>
      <c r="C79" s="152" t="s">
        <v>86</v>
      </c>
      <c r="D79" s="153">
        <v>46000</v>
      </c>
      <c r="E79" s="154">
        <v>45080</v>
      </c>
      <c r="F79" s="155">
        <v>30053.3</v>
      </c>
      <c r="G79" s="155">
        <v>46000</v>
      </c>
      <c r="H79" s="155">
        <f t="shared" ref="H79:H95" si="8">SUM(G79-D79)</f>
        <v>0</v>
      </c>
      <c r="I79" s="156">
        <f>45500+1450+400</f>
        <v>47350</v>
      </c>
      <c r="J79" s="157">
        <f t="shared" si="6"/>
        <v>1350</v>
      </c>
      <c r="K79" s="158">
        <f t="shared" si="7"/>
        <v>1.0503549245785271</v>
      </c>
    </row>
    <row r="80" spans="2:12" x14ac:dyDescent="0.25">
      <c r="B80" s="255"/>
      <c r="C80" s="159" t="s">
        <v>87</v>
      </c>
      <c r="D80" s="160">
        <v>0</v>
      </c>
      <c r="E80" s="161">
        <v>2730.9</v>
      </c>
      <c r="F80" s="162">
        <v>1800</v>
      </c>
      <c r="G80" s="163">
        <v>5000</v>
      </c>
      <c r="H80" s="162">
        <f t="shared" si="8"/>
        <v>5000</v>
      </c>
      <c r="I80" s="164">
        <v>5000</v>
      </c>
      <c r="J80" s="165">
        <f t="shared" si="6"/>
        <v>0</v>
      </c>
      <c r="K80" s="76">
        <f t="shared" si="7"/>
        <v>1.8308982386758943</v>
      </c>
    </row>
    <row r="81" spans="2:11" x14ac:dyDescent="0.25">
      <c r="B81" s="255"/>
      <c r="C81" s="159" t="s">
        <v>88</v>
      </c>
      <c r="D81" s="160">
        <v>0</v>
      </c>
      <c r="E81" s="161">
        <v>2548.4</v>
      </c>
      <c r="F81" s="162">
        <v>2548.4</v>
      </c>
      <c r="G81" s="162">
        <v>0</v>
      </c>
      <c r="H81" s="162">
        <f t="shared" si="8"/>
        <v>0</v>
      </c>
      <c r="I81" s="164">
        <v>0</v>
      </c>
      <c r="J81" s="165">
        <f t="shared" si="6"/>
        <v>0</v>
      </c>
      <c r="K81" s="76" t="s">
        <v>18</v>
      </c>
    </row>
    <row r="82" spans="2:11" x14ac:dyDescent="0.25">
      <c r="B82" s="255"/>
      <c r="C82" s="159" t="s">
        <v>89</v>
      </c>
      <c r="D82" s="160">
        <v>0</v>
      </c>
      <c r="E82" s="161">
        <v>0</v>
      </c>
      <c r="F82" s="162">
        <v>0</v>
      </c>
      <c r="G82" s="162">
        <v>0</v>
      </c>
      <c r="H82" s="162">
        <f t="shared" si="8"/>
        <v>0</v>
      </c>
      <c r="I82" s="164">
        <v>0</v>
      </c>
      <c r="J82" s="165">
        <f t="shared" si="6"/>
        <v>0</v>
      </c>
      <c r="K82" s="76" t="s">
        <v>18</v>
      </c>
    </row>
    <row r="83" spans="2:11" x14ac:dyDescent="0.25">
      <c r="B83" s="257" t="s">
        <v>68</v>
      </c>
      <c r="C83" s="166" t="s">
        <v>90</v>
      </c>
      <c r="D83" s="160">
        <v>4800</v>
      </c>
      <c r="E83" s="161">
        <v>4704</v>
      </c>
      <c r="F83" s="162">
        <v>2352</v>
      </c>
      <c r="G83" s="162">
        <v>4900</v>
      </c>
      <c r="H83" s="162">
        <f t="shared" si="8"/>
        <v>100</v>
      </c>
      <c r="I83" s="167">
        <f>5005+45</f>
        <v>5050</v>
      </c>
      <c r="J83" s="165">
        <f t="shared" si="6"/>
        <v>150</v>
      </c>
      <c r="K83" s="76">
        <f>I83/E83</f>
        <v>1.0735544217687074</v>
      </c>
    </row>
    <row r="84" spans="2:11" x14ac:dyDescent="0.25">
      <c r="B84" s="257"/>
      <c r="C84" s="166" t="s">
        <v>91</v>
      </c>
      <c r="D84" s="160">
        <v>0</v>
      </c>
      <c r="E84" s="161">
        <v>670.1</v>
      </c>
      <c r="F84" s="162">
        <v>670.1</v>
      </c>
      <c r="G84" s="162">
        <v>0</v>
      </c>
      <c r="H84" s="162">
        <f t="shared" si="8"/>
        <v>0</v>
      </c>
      <c r="I84" s="164">
        <v>0</v>
      </c>
      <c r="J84" s="165">
        <f t="shared" si="6"/>
        <v>0</v>
      </c>
      <c r="K84" s="76">
        <f>I84/E84</f>
        <v>0</v>
      </c>
    </row>
    <row r="85" spans="2:11" x14ac:dyDescent="0.25">
      <c r="B85" s="257"/>
      <c r="C85" s="166" t="s">
        <v>92</v>
      </c>
      <c r="D85" s="160">
        <v>0</v>
      </c>
      <c r="E85" s="161">
        <v>0</v>
      </c>
      <c r="F85" s="162">
        <v>0</v>
      </c>
      <c r="G85" s="162">
        <v>0</v>
      </c>
      <c r="H85" s="162">
        <f t="shared" si="8"/>
        <v>0</v>
      </c>
      <c r="I85" s="164">
        <v>0</v>
      </c>
      <c r="J85" s="165">
        <f t="shared" si="6"/>
        <v>0</v>
      </c>
      <c r="K85" s="76" t="s">
        <v>18</v>
      </c>
    </row>
    <row r="86" spans="2:11" x14ac:dyDescent="0.25">
      <c r="B86" s="255" t="s">
        <v>70</v>
      </c>
      <c r="C86" s="166" t="s">
        <v>93</v>
      </c>
      <c r="D86" s="168">
        <v>21544</v>
      </c>
      <c r="E86" s="161">
        <v>26882</v>
      </c>
      <c r="F86" s="162">
        <v>19050</v>
      </c>
      <c r="G86" s="161">
        <v>22500</v>
      </c>
      <c r="H86" s="161">
        <f t="shared" si="8"/>
        <v>956</v>
      </c>
      <c r="I86" s="167">
        <f>23303+1570</f>
        <v>24873</v>
      </c>
      <c r="J86" s="165">
        <f t="shared" si="6"/>
        <v>2373</v>
      </c>
      <c r="K86" s="76">
        <f>I86/E86</f>
        <v>0.92526597723383674</v>
      </c>
    </row>
    <row r="87" spans="2:11" x14ac:dyDescent="0.25">
      <c r="B87" s="255"/>
      <c r="C87" s="166" t="s">
        <v>94</v>
      </c>
      <c r="D87" s="168">
        <v>0</v>
      </c>
      <c r="E87" s="161">
        <v>38155.9</v>
      </c>
      <c r="F87" s="162">
        <v>22893.5</v>
      </c>
      <c r="G87" s="161">
        <v>0</v>
      </c>
      <c r="H87" s="161">
        <f t="shared" si="8"/>
        <v>0</v>
      </c>
      <c r="I87" s="169">
        <v>0</v>
      </c>
      <c r="J87" s="165">
        <f t="shared" si="6"/>
        <v>0</v>
      </c>
      <c r="K87" s="76">
        <f>I87/E87</f>
        <v>0</v>
      </c>
    </row>
    <row r="88" spans="2:11" x14ac:dyDescent="0.25">
      <c r="B88" s="255"/>
      <c r="C88" s="166" t="s">
        <v>95</v>
      </c>
      <c r="D88" s="168">
        <v>0</v>
      </c>
      <c r="E88" s="161">
        <v>8953.2000000000007</v>
      </c>
      <c r="F88" s="162">
        <v>8953.1</v>
      </c>
      <c r="G88" s="161">
        <v>0</v>
      </c>
      <c r="H88" s="161">
        <f t="shared" si="8"/>
        <v>0</v>
      </c>
      <c r="I88" s="169">
        <v>0</v>
      </c>
      <c r="J88" s="165">
        <v>0</v>
      </c>
      <c r="K88" s="76">
        <f>I88/E88</f>
        <v>0</v>
      </c>
    </row>
    <row r="89" spans="2:11" x14ac:dyDescent="0.25">
      <c r="B89" s="255"/>
      <c r="C89" s="166" t="s">
        <v>96</v>
      </c>
      <c r="D89" s="168">
        <v>0</v>
      </c>
      <c r="E89" s="161">
        <v>1576.4</v>
      </c>
      <c r="F89" s="170">
        <v>1410.3</v>
      </c>
      <c r="G89" s="161">
        <v>0</v>
      </c>
      <c r="H89" s="161">
        <f t="shared" si="8"/>
        <v>0</v>
      </c>
      <c r="I89" s="169">
        <v>0</v>
      </c>
      <c r="J89" s="165">
        <f t="shared" ref="J89:J95" si="9">I89-G89</f>
        <v>0</v>
      </c>
      <c r="K89" s="76" t="s">
        <v>18</v>
      </c>
    </row>
    <row r="90" spans="2:11" x14ac:dyDescent="0.25">
      <c r="B90" s="255"/>
      <c r="C90" s="166" t="s">
        <v>97</v>
      </c>
      <c r="D90" s="168">
        <v>0</v>
      </c>
      <c r="E90" s="161">
        <v>991.8</v>
      </c>
      <c r="F90" s="170">
        <v>165.9</v>
      </c>
      <c r="G90" s="161">
        <v>0</v>
      </c>
      <c r="H90" s="161">
        <f t="shared" si="8"/>
        <v>0</v>
      </c>
      <c r="I90" s="169">
        <v>0</v>
      </c>
      <c r="J90" s="165">
        <f t="shared" si="9"/>
        <v>0</v>
      </c>
      <c r="K90" s="76" t="s">
        <v>18</v>
      </c>
    </row>
    <row r="91" spans="2:11" x14ac:dyDescent="0.25">
      <c r="B91" s="255"/>
      <c r="C91" s="166" t="s">
        <v>98</v>
      </c>
      <c r="D91" s="168">
        <v>0</v>
      </c>
      <c r="E91" s="161">
        <v>1300.4000000000001</v>
      </c>
      <c r="F91" s="162">
        <v>1300.3</v>
      </c>
      <c r="G91" s="161">
        <v>0</v>
      </c>
      <c r="H91" s="161">
        <f t="shared" si="8"/>
        <v>0</v>
      </c>
      <c r="I91" s="169">
        <v>0</v>
      </c>
      <c r="J91" s="165">
        <f t="shared" si="9"/>
        <v>0</v>
      </c>
      <c r="K91" s="76" t="s">
        <v>18</v>
      </c>
    </row>
    <row r="92" spans="2:11" x14ac:dyDescent="0.25">
      <c r="B92" s="255" t="s">
        <v>63</v>
      </c>
      <c r="C92" s="166" t="s">
        <v>99</v>
      </c>
      <c r="D92" s="161">
        <f>SUM(129543+400)</f>
        <v>129943</v>
      </c>
      <c r="E92" s="161">
        <v>129943</v>
      </c>
      <c r="F92" s="162">
        <v>64971.5</v>
      </c>
      <c r="G92" s="161">
        <v>130283</v>
      </c>
      <c r="H92" s="161">
        <f t="shared" si="8"/>
        <v>340</v>
      </c>
      <c r="I92" s="167">
        <f>137031+9000</f>
        <v>146031</v>
      </c>
      <c r="J92" s="165">
        <f t="shared" si="9"/>
        <v>15748</v>
      </c>
      <c r="K92" s="76">
        <f>I92/E92</f>
        <v>1.1238081312575514</v>
      </c>
    </row>
    <row r="93" spans="2:11" x14ac:dyDescent="0.25">
      <c r="B93" s="255"/>
      <c r="C93" s="166" t="s">
        <v>100</v>
      </c>
      <c r="D93" s="171">
        <v>0</v>
      </c>
      <c r="E93" s="161">
        <v>0</v>
      </c>
      <c r="F93" s="162">
        <v>0</v>
      </c>
      <c r="G93" s="172">
        <v>5000</v>
      </c>
      <c r="H93" s="173">
        <f t="shared" si="8"/>
        <v>5000</v>
      </c>
      <c r="I93" s="172">
        <v>8990.7999999999993</v>
      </c>
      <c r="J93" s="174">
        <f t="shared" si="9"/>
        <v>3990.7999999999993</v>
      </c>
      <c r="K93" s="32" t="s">
        <v>18</v>
      </c>
    </row>
    <row r="94" spans="2:11" x14ac:dyDescent="0.25">
      <c r="B94" s="255" t="s">
        <v>70</v>
      </c>
      <c r="C94" s="175" t="s">
        <v>101</v>
      </c>
      <c r="D94" s="171">
        <v>26000</v>
      </c>
      <c r="E94" s="173">
        <v>25480</v>
      </c>
      <c r="F94" s="176">
        <v>12740</v>
      </c>
      <c r="G94" s="173">
        <v>27000</v>
      </c>
      <c r="H94" s="173">
        <f t="shared" si="8"/>
        <v>1000</v>
      </c>
      <c r="I94" s="177">
        <f>27789+340+525</f>
        <v>28654</v>
      </c>
      <c r="J94" s="174">
        <f t="shared" si="9"/>
        <v>1654</v>
      </c>
      <c r="K94" s="32">
        <f>I94/E94</f>
        <v>1.1245682888540032</v>
      </c>
    </row>
    <row r="95" spans="2:11" x14ac:dyDescent="0.25">
      <c r="B95" s="255"/>
      <c r="C95" s="175" t="s">
        <v>102</v>
      </c>
      <c r="D95" s="178">
        <v>0</v>
      </c>
      <c r="E95" s="173">
        <v>1338</v>
      </c>
      <c r="F95" s="176">
        <v>0</v>
      </c>
      <c r="G95" s="176">
        <v>0</v>
      </c>
      <c r="H95" s="176">
        <f t="shared" si="8"/>
        <v>0</v>
      </c>
      <c r="I95" s="179">
        <v>0</v>
      </c>
      <c r="J95" s="174">
        <f t="shared" si="9"/>
        <v>0</v>
      </c>
      <c r="K95" s="32">
        <f>I95/E95</f>
        <v>0</v>
      </c>
    </row>
    <row r="96" spans="2:11" x14ac:dyDescent="0.25">
      <c r="B96" s="255"/>
      <c r="C96" s="175" t="s">
        <v>103</v>
      </c>
      <c r="D96" s="178">
        <v>0</v>
      </c>
      <c r="E96" s="173">
        <v>0</v>
      </c>
      <c r="F96" s="176">
        <v>0</v>
      </c>
      <c r="G96" s="176">
        <v>0</v>
      </c>
      <c r="H96" s="176">
        <v>0</v>
      </c>
      <c r="I96" s="179">
        <v>0</v>
      </c>
      <c r="J96" s="174">
        <v>0</v>
      </c>
      <c r="K96" s="32" t="s">
        <v>18</v>
      </c>
    </row>
    <row r="97" spans="2:11" x14ac:dyDescent="0.25">
      <c r="B97" s="255"/>
      <c r="C97" s="175" t="s">
        <v>104</v>
      </c>
      <c r="D97" s="180">
        <v>0</v>
      </c>
      <c r="E97" s="181">
        <v>0</v>
      </c>
      <c r="F97" s="182">
        <v>0</v>
      </c>
      <c r="G97" s="182">
        <v>0</v>
      </c>
      <c r="H97" s="182">
        <f>SUM(G97-D97)</f>
        <v>0</v>
      </c>
      <c r="I97" s="183">
        <v>0</v>
      </c>
      <c r="J97" s="184">
        <f t="shared" ref="J97:J109" si="10">I97-G97</f>
        <v>0</v>
      </c>
      <c r="K97" s="185" t="s">
        <v>18</v>
      </c>
    </row>
    <row r="98" spans="2:11" x14ac:dyDescent="0.25">
      <c r="B98" s="136"/>
      <c r="C98" s="137" t="s">
        <v>105</v>
      </c>
      <c r="D98" s="186">
        <f t="shared" ref="D98:I98" si="11">SUM(D99:D107)</f>
        <v>145587.79999999999</v>
      </c>
      <c r="E98" s="187">
        <f t="shared" si="11"/>
        <v>149587.79999999999</v>
      </c>
      <c r="F98" s="187">
        <f t="shared" si="11"/>
        <v>75579.200000000012</v>
      </c>
      <c r="G98" s="187">
        <f t="shared" si="11"/>
        <v>147524.1</v>
      </c>
      <c r="H98" s="187">
        <f t="shared" si="11"/>
        <v>1936.3000000000029</v>
      </c>
      <c r="I98" s="187">
        <f t="shared" si="11"/>
        <v>149654.79999999999</v>
      </c>
      <c r="J98" s="188">
        <f t="shared" si="10"/>
        <v>2130.6999999999825</v>
      </c>
      <c r="K98" s="189">
        <f>I98/E98</f>
        <v>1.0004478974889663</v>
      </c>
    </row>
    <row r="99" spans="2:11" x14ac:dyDescent="0.25">
      <c r="B99" s="256" t="s">
        <v>63</v>
      </c>
      <c r="C99" s="152" t="s">
        <v>106</v>
      </c>
      <c r="D99" s="153">
        <v>81900.800000000003</v>
      </c>
      <c r="E99" s="155">
        <v>81900.800000000003</v>
      </c>
      <c r="F99" s="155">
        <v>40950.400000000001</v>
      </c>
      <c r="G99" s="155">
        <v>82437.100000000006</v>
      </c>
      <c r="H99" s="155">
        <f>SUM(G99-D99)</f>
        <v>536.30000000000291</v>
      </c>
      <c r="I99" s="153">
        <v>82437.100000000006</v>
      </c>
      <c r="J99" s="157">
        <f t="shared" si="10"/>
        <v>0</v>
      </c>
      <c r="K99" s="158">
        <f>I99/E99</f>
        <v>1.0065481655856843</v>
      </c>
    </row>
    <row r="100" spans="2:11" x14ac:dyDescent="0.25">
      <c r="B100" s="256"/>
      <c r="C100" s="152" t="s">
        <v>106</v>
      </c>
      <c r="D100" s="190">
        <v>0</v>
      </c>
      <c r="E100" s="191">
        <v>0</v>
      </c>
      <c r="F100" s="191"/>
      <c r="G100" s="191"/>
      <c r="H100" s="191"/>
      <c r="I100" s="190">
        <v>2130.6999999999998</v>
      </c>
      <c r="J100" s="174">
        <f t="shared" si="10"/>
        <v>2130.6999999999998</v>
      </c>
      <c r="K100" s="192"/>
    </row>
    <row r="101" spans="2:11" x14ac:dyDescent="0.25">
      <c r="B101" s="256"/>
      <c r="C101" s="159" t="s">
        <v>107</v>
      </c>
      <c r="D101" s="160">
        <v>87</v>
      </c>
      <c r="E101" s="162">
        <v>87</v>
      </c>
      <c r="F101" s="162">
        <v>10.9</v>
      </c>
      <c r="G101" s="162">
        <v>87</v>
      </c>
      <c r="H101" s="162">
        <f t="shared" ref="H101:H109" si="12">SUM(G101-D101)</f>
        <v>0</v>
      </c>
      <c r="I101" s="160">
        <v>87</v>
      </c>
      <c r="J101" s="162">
        <f t="shared" si="10"/>
        <v>0</v>
      </c>
      <c r="K101" s="76">
        <f>I101/E101</f>
        <v>1</v>
      </c>
    </row>
    <row r="102" spans="2:11" x14ac:dyDescent="0.25">
      <c r="B102" s="256"/>
      <c r="C102" s="159" t="s">
        <v>108</v>
      </c>
      <c r="D102" s="160">
        <v>0</v>
      </c>
      <c r="E102" s="162">
        <v>0</v>
      </c>
      <c r="F102" s="162">
        <v>0</v>
      </c>
      <c r="G102" s="162">
        <v>0</v>
      </c>
      <c r="H102" s="162">
        <f t="shared" si="12"/>
        <v>0</v>
      </c>
      <c r="I102" s="160">
        <v>0</v>
      </c>
      <c r="J102" s="162">
        <f t="shared" si="10"/>
        <v>0</v>
      </c>
      <c r="K102" s="76" t="s">
        <v>18</v>
      </c>
    </row>
    <row r="103" spans="2:11" x14ac:dyDescent="0.25">
      <c r="B103" s="256"/>
      <c r="C103" s="159" t="s">
        <v>109</v>
      </c>
      <c r="D103" s="160">
        <v>8700</v>
      </c>
      <c r="E103" s="162">
        <v>12700</v>
      </c>
      <c r="F103" s="162">
        <v>7167.9</v>
      </c>
      <c r="G103" s="162">
        <v>12000</v>
      </c>
      <c r="H103" s="162">
        <f t="shared" si="12"/>
        <v>3300</v>
      </c>
      <c r="I103" s="160">
        <v>12000</v>
      </c>
      <c r="J103" s="174">
        <f t="shared" si="10"/>
        <v>0</v>
      </c>
      <c r="K103" s="76">
        <v>0</v>
      </c>
    </row>
    <row r="104" spans="2:11" x14ac:dyDescent="0.25">
      <c r="B104" s="257" t="s">
        <v>68</v>
      </c>
      <c r="C104" s="166" t="s">
        <v>110</v>
      </c>
      <c r="D104" s="168">
        <v>48000</v>
      </c>
      <c r="E104" s="162">
        <v>48000</v>
      </c>
      <c r="F104" s="162">
        <v>24000</v>
      </c>
      <c r="G104" s="161">
        <v>48000</v>
      </c>
      <c r="H104" s="162">
        <f t="shared" si="12"/>
        <v>0</v>
      </c>
      <c r="I104" s="168">
        <v>48000</v>
      </c>
      <c r="J104" s="174">
        <f t="shared" si="10"/>
        <v>0</v>
      </c>
      <c r="K104" s="76">
        <f>I104/E104</f>
        <v>1</v>
      </c>
    </row>
    <row r="105" spans="2:11" x14ac:dyDescent="0.25">
      <c r="B105" s="257"/>
      <c r="C105" s="166" t="s">
        <v>111</v>
      </c>
      <c r="D105" s="168">
        <v>0</v>
      </c>
      <c r="E105" s="162">
        <v>0</v>
      </c>
      <c r="F105" s="162">
        <v>0</v>
      </c>
      <c r="G105" s="161">
        <v>0</v>
      </c>
      <c r="H105" s="162">
        <f t="shared" si="12"/>
        <v>0</v>
      </c>
      <c r="I105" s="168">
        <v>0</v>
      </c>
      <c r="J105" s="174">
        <f t="shared" si="10"/>
        <v>0</v>
      </c>
      <c r="K105" s="76" t="s">
        <v>18</v>
      </c>
    </row>
    <row r="106" spans="2:11" x14ac:dyDescent="0.25">
      <c r="B106" s="257"/>
      <c r="C106" s="166" t="s">
        <v>112</v>
      </c>
      <c r="D106" s="168">
        <v>0</v>
      </c>
      <c r="E106" s="162">
        <v>0</v>
      </c>
      <c r="F106" s="162">
        <v>0</v>
      </c>
      <c r="G106" s="161">
        <v>0</v>
      </c>
      <c r="H106" s="162">
        <f t="shared" si="12"/>
        <v>0</v>
      </c>
      <c r="I106" s="168">
        <v>0</v>
      </c>
      <c r="J106" s="174">
        <f t="shared" si="10"/>
        <v>0</v>
      </c>
      <c r="K106" s="76" t="s">
        <v>18</v>
      </c>
    </row>
    <row r="107" spans="2:11" x14ac:dyDescent="0.25">
      <c r="B107" s="257"/>
      <c r="C107" s="166" t="s">
        <v>113</v>
      </c>
      <c r="D107" s="168">
        <v>6900</v>
      </c>
      <c r="E107" s="162">
        <v>6900</v>
      </c>
      <c r="F107" s="162">
        <v>3450</v>
      </c>
      <c r="G107" s="161">
        <v>5000</v>
      </c>
      <c r="H107" s="162">
        <f t="shared" si="12"/>
        <v>-1900</v>
      </c>
      <c r="I107" s="168">
        <v>5000</v>
      </c>
      <c r="J107" s="174">
        <f t="shared" si="10"/>
        <v>0</v>
      </c>
      <c r="K107" s="76" t="s">
        <v>18</v>
      </c>
    </row>
    <row r="108" spans="2:11" x14ac:dyDescent="0.25">
      <c r="B108" s="257"/>
      <c r="C108" s="193" t="s">
        <v>114</v>
      </c>
      <c r="D108" s="171">
        <v>0</v>
      </c>
      <c r="E108" s="194">
        <v>0</v>
      </c>
      <c r="F108" s="194">
        <v>0</v>
      </c>
      <c r="G108" s="173">
        <v>0</v>
      </c>
      <c r="H108" s="176">
        <f t="shared" si="12"/>
        <v>0</v>
      </c>
      <c r="I108" s="171">
        <v>0</v>
      </c>
      <c r="J108" s="176">
        <f t="shared" si="10"/>
        <v>0</v>
      </c>
      <c r="K108" s="32" t="s">
        <v>18</v>
      </c>
    </row>
    <row r="109" spans="2:11" x14ac:dyDescent="0.25">
      <c r="B109" s="136" t="s">
        <v>70</v>
      </c>
      <c r="C109" s="137" t="s">
        <v>115</v>
      </c>
      <c r="D109" s="20">
        <v>97880.5</v>
      </c>
      <c r="E109" s="20">
        <v>103923.1</v>
      </c>
      <c r="F109" s="20">
        <v>49353.9</v>
      </c>
      <c r="G109" s="20">
        <v>79335.8</v>
      </c>
      <c r="H109" s="20">
        <f t="shared" si="12"/>
        <v>-18544.699999999997</v>
      </c>
      <c r="I109" s="139">
        <f>79609.8+350+2470</f>
        <v>82429.8</v>
      </c>
      <c r="J109" s="20">
        <f t="shared" si="10"/>
        <v>3094</v>
      </c>
      <c r="K109" s="138">
        <f>I109/E109</f>
        <v>0.79318072690287333</v>
      </c>
    </row>
    <row r="110" spans="2:11" x14ac:dyDescent="0.25">
      <c r="B110" s="195"/>
      <c r="C110" s="193"/>
      <c r="D110" s="196"/>
      <c r="E110" s="197"/>
      <c r="F110" s="197"/>
      <c r="G110" s="198"/>
      <c r="H110" s="191"/>
      <c r="I110" s="196"/>
      <c r="J110" s="191"/>
      <c r="K110" s="192"/>
    </row>
    <row r="111" spans="2:11" ht="15.75" x14ac:dyDescent="0.25">
      <c r="B111" s="199"/>
      <c r="C111" s="200" t="s">
        <v>116</v>
      </c>
      <c r="D111" s="201">
        <f>D109+D98+D78+D77++D76+D75+D74+D73+D72+D71+D70+D69+D68+D67+D66+D65+D64+D63+D61+D60</f>
        <v>1146984.8</v>
      </c>
      <c r="E111" s="201">
        <f>E109+E98+E78+E77++E76+E75+E74+E73+E72+E71+E70+E69+E68+E67+E66+E65+E64+E63+E61+E60</f>
        <v>1313570.4000000001</v>
      </c>
      <c r="F111" s="201">
        <f>F109+F98+F78+F77++F76+F75+F74+F73+F72+F71+F70+F69+F68+F67+F66+F65+F64+F63+F61+F60</f>
        <v>506490.35000000015</v>
      </c>
      <c r="G111" s="201">
        <f>G109+G98+G78+G77++G76+G75+G74+G73+G72+G71+G70+G69+G68+G67+G66+G65+G64+G63+G61+G60</f>
        <v>1344333.1</v>
      </c>
      <c r="H111" s="201">
        <f>SUM(G111-D111)</f>
        <v>197348.30000000005</v>
      </c>
      <c r="I111" s="201">
        <f>I109+I98+I78+I77++I76+I75+I74+I73+I72+I71+I70+I69+I68+I67+I66+I65+I64+I63+I62+I61+I60</f>
        <v>1303690.5999999999</v>
      </c>
      <c r="J111" s="201">
        <f>J98+J78+J77++J76+J75+J74+J73+J72+J71+J70+J69+J68+J67+J66+J65+J64+J63+J61+J60</f>
        <v>-44736.500000000029</v>
      </c>
      <c r="K111" s="202">
        <f>I111/E111</f>
        <v>0.99247866730249079</v>
      </c>
    </row>
    <row r="112" spans="2:11" x14ac:dyDescent="0.25">
      <c r="B112" s="199"/>
      <c r="C112" s="203" t="s">
        <v>117</v>
      </c>
      <c r="D112" s="53">
        <v>0</v>
      </c>
      <c r="E112" s="53">
        <v>0</v>
      </c>
      <c r="F112" s="204"/>
      <c r="G112" s="53">
        <v>0</v>
      </c>
      <c r="H112" s="155">
        <f>SUM(G112-D112)</f>
        <v>0</v>
      </c>
      <c r="I112" s="53">
        <v>0</v>
      </c>
      <c r="J112" s="155">
        <f>I112-G112</f>
        <v>0</v>
      </c>
      <c r="K112" s="158">
        <v>0</v>
      </c>
    </row>
    <row r="113" spans="2:11" x14ac:dyDescent="0.25">
      <c r="B113" s="199"/>
      <c r="C113" s="205" t="s">
        <v>118</v>
      </c>
      <c r="D113" s="206">
        <v>200000</v>
      </c>
      <c r="E113" s="206">
        <v>200000</v>
      </c>
      <c r="F113" s="207"/>
      <c r="G113" s="208">
        <v>0</v>
      </c>
      <c r="H113" s="161">
        <v>0</v>
      </c>
      <c r="I113" s="208">
        <v>0</v>
      </c>
      <c r="J113" s="162">
        <f>I113-G113</f>
        <v>0</v>
      </c>
      <c r="K113" s="158">
        <v>0</v>
      </c>
    </row>
    <row r="114" spans="2:11" x14ac:dyDescent="0.25">
      <c r="C114" s="209" t="s">
        <v>119</v>
      </c>
      <c r="D114" s="210">
        <v>49170</v>
      </c>
      <c r="E114" s="210">
        <v>49170</v>
      </c>
      <c r="F114" s="211"/>
      <c r="G114" s="210">
        <v>49170</v>
      </c>
      <c r="H114" s="182">
        <v>0</v>
      </c>
      <c r="I114" s="210">
        <v>49170</v>
      </c>
      <c r="J114" s="182">
        <f>I114-G114</f>
        <v>0</v>
      </c>
      <c r="K114" s="185">
        <f>I114/E114</f>
        <v>1</v>
      </c>
    </row>
    <row r="115" spans="2:11" ht="15.75" x14ac:dyDescent="0.25">
      <c r="C115" s="212" t="s">
        <v>120</v>
      </c>
      <c r="D115" s="213">
        <f>D111+D112+D113+D114</f>
        <v>1396154.8</v>
      </c>
      <c r="E115" s="213">
        <f>E111+E112+E113+E114</f>
        <v>1562740.4000000001</v>
      </c>
      <c r="F115" s="213">
        <f>F111+F114</f>
        <v>506490.35000000015</v>
      </c>
      <c r="G115" s="213">
        <f>G111+G113+G114</f>
        <v>1393503.1</v>
      </c>
      <c r="H115" s="213">
        <f>H111+H114</f>
        <v>197348.30000000005</v>
      </c>
      <c r="I115" s="213">
        <f>I111+I112+I113+I114</f>
        <v>1352860.5999999999</v>
      </c>
      <c r="J115" s="214">
        <f>J111+J114</f>
        <v>-44736.500000000029</v>
      </c>
      <c r="K115" s="215">
        <f>I115/E115</f>
        <v>0.86569759123140333</v>
      </c>
    </row>
    <row r="116" spans="2:11" x14ac:dyDescent="0.25">
      <c r="C116" s="216" t="s">
        <v>121</v>
      </c>
      <c r="D116" s="53">
        <f>D29</f>
        <v>949292.8</v>
      </c>
      <c r="E116" s="53">
        <v>1141785.5</v>
      </c>
      <c r="F116" s="53"/>
      <c r="G116" s="206">
        <v>956353.1</v>
      </c>
      <c r="H116" s="155">
        <f>SUM(G116-D116)</f>
        <v>7060.2999999999302</v>
      </c>
      <c r="I116" s="217">
        <f>I29</f>
        <v>1000089.8</v>
      </c>
      <c r="J116" s="157">
        <f>I116-G116</f>
        <v>43736.70000000007</v>
      </c>
      <c r="K116" s="76" t="s">
        <v>18</v>
      </c>
    </row>
    <row r="117" spans="2:11" x14ac:dyDescent="0.25">
      <c r="C117" s="205" t="s">
        <v>122</v>
      </c>
      <c r="D117" s="206">
        <f>D30</f>
        <v>197692</v>
      </c>
      <c r="E117" s="206">
        <v>171784.9</v>
      </c>
      <c r="F117" s="206"/>
      <c r="G117" s="206">
        <v>387980</v>
      </c>
      <c r="H117" s="162">
        <f>SUM(G117-D117)</f>
        <v>190288</v>
      </c>
      <c r="I117" s="218">
        <f>I30</f>
        <v>303600.8</v>
      </c>
      <c r="J117" s="165">
        <f>I117-G117</f>
        <v>-84379.200000000012</v>
      </c>
      <c r="K117" s="76" t="s">
        <v>18</v>
      </c>
    </row>
    <row r="118" spans="2:11" x14ac:dyDescent="0.25">
      <c r="C118" s="219" t="s">
        <v>123</v>
      </c>
      <c r="D118" s="206">
        <v>0</v>
      </c>
      <c r="E118" s="206">
        <v>0</v>
      </c>
      <c r="F118" s="206"/>
      <c r="G118" s="206">
        <v>0</v>
      </c>
      <c r="H118" s="162">
        <f>SUM(G118-D118)</f>
        <v>0</v>
      </c>
      <c r="I118" s="206">
        <v>0</v>
      </c>
      <c r="J118" s="165">
        <f>I118-G118</f>
        <v>0</v>
      </c>
      <c r="K118" s="158">
        <v>0</v>
      </c>
    </row>
    <row r="119" spans="2:11" x14ac:dyDescent="0.25">
      <c r="C119" s="220" t="s">
        <v>124</v>
      </c>
      <c r="D119" s="221">
        <f>D114+D113+D112</f>
        <v>249170</v>
      </c>
      <c r="E119" s="221">
        <f>E114+E113+E112</f>
        <v>249170</v>
      </c>
      <c r="F119" s="222"/>
      <c r="G119" s="223">
        <f>G112+G113+G114</f>
        <v>49170</v>
      </c>
      <c r="H119" s="224">
        <f>H114+H112</f>
        <v>0</v>
      </c>
      <c r="I119" s="223">
        <f>I114+I113+I112</f>
        <v>49170</v>
      </c>
      <c r="J119" s="225">
        <f>J114+J112</f>
        <v>0</v>
      </c>
      <c r="K119" s="226">
        <f>I119/E119</f>
        <v>0.1973351527069872</v>
      </c>
    </row>
    <row r="120" spans="2:11" x14ac:dyDescent="0.25"/>
    <row r="121" spans="2:11" x14ac:dyDescent="0.25">
      <c r="C121" s="227"/>
      <c r="D121" s="228"/>
      <c r="E121" s="228"/>
      <c r="F121" s="134"/>
      <c r="G121" s="228"/>
      <c r="H121" s="41"/>
    </row>
    <row r="122" spans="2:11" x14ac:dyDescent="0.25">
      <c r="C122" s="229"/>
      <c r="D122" s="230" t="s">
        <v>125</v>
      </c>
      <c r="E122" s="230" t="s">
        <v>126</v>
      </c>
      <c r="F122" s="230"/>
      <c r="G122" s="230"/>
      <c r="H122" s="231"/>
      <c r="K122" s="112"/>
    </row>
    <row r="123" spans="2:11" x14ac:dyDescent="0.25">
      <c r="C123" s="40"/>
      <c r="D123" s="43"/>
      <c r="E123" s="42" t="s">
        <v>127</v>
      </c>
      <c r="F123" s="40"/>
      <c r="G123" s="40"/>
      <c r="H123" s="40"/>
      <c r="K123" s="112"/>
    </row>
    <row r="124" spans="2:11" x14ac:dyDescent="0.25">
      <c r="C124" s="40"/>
      <c r="D124" s="43"/>
      <c r="E124" s="232" t="s">
        <v>128</v>
      </c>
      <c r="F124" s="233" t="s">
        <v>129</v>
      </c>
      <c r="G124" s="234" t="s">
        <v>130</v>
      </c>
      <c r="H124" s="235"/>
      <c r="K124" s="112"/>
    </row>
    <row r="125" spans="2:11" x14ac:dyDescent="0.25">
      <c r="D125" s="47"/>
      <c r="E125" s="236" t="s">
        <v>131</v>
      </c>
      <c r="F125" s="30">
        <f>G16</f>
        <v>1114180.8999999999</v>
      </c>
      <c r="G125" s="237">
        <f>I16</f>
        <v>1352860.5999999999</v>
      </c>
      <c r="H125" s="50"/>
      <c r="I125" s="125"/>
    </row>
    <row r="126" spans="2:11" x14ac:dyDescent="0.25">
      <c r="D126" s="47"/>
      <c r="E126" s="238" t="s">
        <v>132</v>
      </c>
      <c r="F126" s="29">
        <f>G115</f>
        <v>1393503.1</v>
      </c>
      <c r="G126" s="239">
        <f>I115</f>
        <v>1352860.5999999999</v>
      </c>
      <c r="H126" s="240"/>
      <c r="I126" s="241"/>
      <c r="J126" s="130"/>
    </row>
    <row r="127" spans="2:11" x14ac:dyDescent="0.25">
      <c r="D127" s="47"/>
      <c r="E127" s="242" t="s">
        <v>133</v>
      </c>
      <c r="F127" s="243">
        <f>SUM(F125-F126)</f>
        <v>-279322.20000000019</v>
      </c>
      <c r="G127" s="244">
        <f>G125-G126</f>
        <v>0</v>
      </c>
      <c r="H127" s="245"/>
      <c r="I127" s="125"/>
      <c r="J127" s="130"/>
    </row>
    <row r="128" spans="2:11" x14ac:dyDescent="0.25">
      <c r="D128" s="47"/>
      <c r="J128" s="130"/>
    </row>
    <row r="129" spans="5:10" x14ac:dyDescent="0.25">
      <c r="E129" s="246" t="s">
        <v>134</v>
      </c>
      <c r="F129" s="40" t="s">
        <v>135</v>
      </c>
      <c r="G129" s="247">
        <f>F127</f>
        <v>-279322.20000000019</v>
      </c>
      <c r="H129" s="248"/>
      <c r="I129" s="249"/>
      <c r="J129" s="248"/>
    </row>
    <row r="130" spans="5:10" x14ac:dyDescent="0.25">
      <c r="F130" s="40" t="s">
        <v>136</v>
      </c>
      <c r="G130" s="247">
        <f>J12</f>
        <v>2132</v>
      </c>
      <c r="H130" s="248"/>
      <c r="I130" s="249"/>
      <c r="J130" s="248"/>
    </row>
    <row r="131" spans="5:10" x14ac:dyDescent="0.25">
      <c r="F131" s="250" t="s">
        <v>137</v>
      </c>
      <c r="G131" s="247">
        <f>I13</f>
        <v>0</v>
      </c>
      <c r="H131" s="251" t="s">
        <v>138</v>
      </c>
      <c r="I131" s="249"/>
      <c r="J131" s="248"/>
    </row>
    <row r="132" spans="5:10" x14ac:dyDescent="0.25">
      <c r="F132" s="252" t="s">
        <v>139</v>
      </c>
      <c r="G132" s="253">
        <f>SUM(G129:G131)</f>
        <v>-277190.20000000019</v>
      </c>
      <c r="H132" s="248"/>
      <c r="I132" s="254"/>
      <c r="J132" s="248"/>
    </row>
    <row r="133" spans="5:10" x14ac:dyDescent="0.25">
      <c r="I133" s="1"/>
    </row>
    <row r="134" spans="5:10" x14ac:dyDescent="0.25">
      <c r="I134" s="1"/>
    </row>
    <row r="135" spans="5:10" x14ac:dyDescent="0.25"/>
    <row r="136" spans="5:10" x14ac:dyDescent="0.25"/>
    <row r="137" spans="5:10" x14ac:dyDescent="0.25"/>
    <row r="138" spans="5:10" x14ac:dyDescent="0.25"/>
    <row r="139" spans="5:10" x14ac:dyDescent="0.25"/>
    <row r="140" spans="5:10" x14ac:dyDescent="0.25"/>
    <row r="141" spans="5:10" x14ac:dyDescent="0.25"/>
    <row r="142" spans="5:10" x14ac:dyDescent="0.25"/>
    <row r="143" spans="5:10" x14ac:dyDescent="0.25"/>
    <row r="144" spans="5:10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</sheetData>
  <mergeCells count="13">
    <mergeCell ref="C1:H2"/>
    <mergeCell ref="C3:K4"/>
    <mergeCell ref="C25:K26"/>
    <mergeCell ref="C44:I45"/>
    <mergeCell ref="C56:K57"/>
    <mergeCell ref="B94:B97"/>
    <mergeCell ref="B99:B103"/>
    <mergeCell ref="B104:B108"/>
    <mergeCell ref="B60:B62"/>
    <mergeCell ref="B79:B82"/>
    <mergeCell ref="B83:B85"/>
    <mergeCell ref="B86:B91"/>
    <mergeCell ref="B92:B93"/>
  </mergeCells>
  <conditionalFormatting sqref="B94:B100 B104 B114:B118 B86:B92 B121:B1048576 B65:B83 B1:B60">
    <cfRule type="containsText" dxfId="19" priority="2" operator="containsText" text="TAJ">
      <formula>NOT(ISERROR(SEARCH("TAJ",B1)))</formula>
    </cfRule>
    <cfRule type="containsText" dxfId="18" priority="3" operator="containsText" text="1NÁM">
      <formula>NOT(ISERROR(SEARCH("1NÁM",B1)))</formula>
    </cfRule>
    <cfRule type="containsText" dxfId="17" priority="4" operator="containsText" text="2NÁM">
      <formula>NOT(ISERROR(SEARCH("2NÁM",B1)))</formula>
    </cfRule>
    <cfRule type="containsText" dxfId="16" priority="5" operator="containsText" text="PRIM">
      <formula>NOT(ISERROR(SEARCH("PRIM",B1)))</formula>
    </cfRule>
  </conditionalFormatting>
  <conditionalFormatting sqref="B64">
    <cfRule type="containsText" dxfId="15" priority="6" operator="containsText" text="TAJ">
      <formula>NOT(ISERROR(SEARCH("TAJ",B64)))</formula>
    </cfRule>
    <cfRule type="containsText" dxfId="14" priority="7" operator="containsText" text="1NÁM">
      <formula>NOT(ISERROR(SEARCH("1NÁM",B64)))</formula>
    </cfRule>
    <cfRule type="containsText" dxfId="13" priority="8" operator="containsText" text="2NÁM">
      <formula>NOT(ISERROR(SEARCH("2NÁM",B64)))</formula>
    </cfRule>
    <cfRule type="containsText" dxfId="12" priority="9" operator="containsText" text="PRIM">
      <formula>NOT(ISERROR(SEARCH("PRIM",B64)))</formula>
    </cfRule>
  </conditionalFormatting>
  <conditionalFormatting sqref="B63">
    <cfRule type="containsText" dxfId="11" priority="10" operator="containsText" text="TAJ">
      <formula>NOT(ISERROR(SEARCH("TAJ",B63)))</formula>
    </cfRule>
    <cfRule type="containsText" dxfId="10" priority="11" operator="containsText" text="1NÁM">
      <formula>NOT(ISERROR(SEARCH("1NÁM",B63)))</formula>
    </cfRule>
    <cfRule type="containsText" dxfId="9" priority="12" operator="containsText" text="2NÁM">
      <formula>NOT(ISERROR(SEARCH("2NÁM",B63)))</formula>
    </cfRule>
    <cfRule type="containsText" dxfId="8" priority="13" operator="containsText" text="PRIM">
      <formula>NOT(ISERROR(SEARCH("PRIM",B63)))</formula>
    </cfRule>
  </conditionalFormatting>
  <conditionalFormatting sqref="B110:B113">
    <cfRule type="containsText" dxfId="7" priority="14" operator="containsText" text="TAJ">
      <formula>NOT(ISERROR(SEARCH("TAJ",B110)))</formula>
    </cfRule>
    <cfRule type="containsText" dxfId="6" priority="15" operator="containsText" text="1NÁM">
      <formula>NOT(ISERROR(SEARCH("1NÁM",B110)))</formula>
    </cfRule>
    <cfRule type="containsText" dxfId="5" priority="16" operator="containsText" text="2NÁM">
      <formula>NOT(ISERROR(SEARCH("2NÁM",B110)))</formula>
    </cfRule>
    <cfRule type="containsText" dxfId="4" priority="17" operator="containsText" text="PRIM">
      <formula>NOT(ISERROR(SEARCH("PRIM",B110)))</formula>
    </cfRule>
  </conditionalFormatting>
  <conditionalFormatting sqref="B109">
    <cfRule type="containsText" dxfId="3" priority="18" operator="containsText" text="TAJ">
      <formula>NOT(ISERROR(SEARCH("TAJ",B109)))</formula>
    </cfRule>
    <cfRule type="containsText" dxfId="2" priority="19" operator="containsText" text="1NÁM">
      <formula>NOT(ISERROR(SEARCH("1NÁM",B109)))</formula>
    </cfRule>
    <cfRule type="containsText" dxfId="1" priority="20" operator="containsText" text="2NÁM">
      <formula>NOT(ISERROR(SEARCH("2NÁM",B109)))</formula>
    </cfRule>
    <cfRule type="containsText" dxfId="0" priority="21" operator="containsText" text="PRIM">
      <formula>NOT(ISERROR(SEARCH("PRIM",B109)))</formula>
    </cfRule>
  </conditionalFormatting>
  <printOptions horizontalCentered="1" verticalCentered="1"/>
  <pageMargins left="0.51180555555555496" right="0.51180555555555496" top="0.59027777777777801" bottom="0.59027777777777801" header="0.51180555555555496" footer="0.51180555555555496"/>
  <pageSetup paperSize="8" scale="52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Mareš Jan (Ekonom)</dc:creator>
  <dc:description/>
  <cp:lastModifiedBy>Matějková Romana</cp:lastModifiedBy>
  <cp:revision>5</cp:revision>
  <cp:lastPrinted>2021-10-27T09:28:47Z</cp:lastPrinted>
  <dcterms:created xsi:type="dcterms:W3CDTF">2013-09-18T06:48:31Z</dcterms:created>
  <dcterms:modified xsi:type="dcterms:W3CDTF">2021-10-27T13:07:59Z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